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twconnect.sharepoint.com/sites/600.294ShinanOi/Shared Documents/Generelt/"/>
    </mc:Choice>
  </mc:AlternateContent>
  <xr:revisionPtr revIDLastSave="557" documentId="8_{8218F868-E4F6-47A2-BAA9-74FC68619095}" xr6:coauthVersionLast="47" xr6:coauthVersionMax="47" xr10:uidLastSave="{ECD21AB7-CBFF-406C-9E97-F4E2E41958C8}"/>
  <bookViews>
    <workbookView xWindow="-96" yWindow="0" windowWidth="12348" windowHeight="12336" xr2:uid="{2A5F16D8-45B3-40CF-BBA0-0A9D5BC61E0A}"/>
  </bookViews>
  <sheets>
    <sheet name="25% (2)" sheetId="6" r:id="rId1"/>
  </sheets>
  <definedNames>
    <definedName name="_xlnm.Print_Area" localSheetId="0">'25% (2)'!$A$1:$AD$31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1" i="6" l="1"/>
  <c r="Q44" i="6"/>
  <c r="O47" i="6"/>
  <c r="J21" i="6"/>
  <c r="G21" i="6"/>
  <c r="AB33" i="6"/>
  <c r="I15" i="6" l="1"/>
  <c r="I17" i="6" s="1"/>
  <c r="I16" i="6"/>
  <c r="AB21" i="6"/>
  <c r="AC21" i="6"/>
  <c r="G23" i="6"/>
  <c r="M15" i="6"/>
  <c r="M17" i="6" s="1"/>
  <c r="M16" i="6"/>
  <c r="G11" i="6"/>
  <c r="K11" i="6" s="1"/>
  <c r="G12" i="6"/>
  <c r="K12" i="6" s="1"/>
  <c r="G10" i="6"/>
  <c r="L10" i="6" s="1"/>
  <c r="I11" i="6" l="1"/>
  <c r="I25" i="6" s="1"/>
  <c r="I12" i="6"/>
  <c r="L12" i="6"/>
  <c r="M12" i="6"/>
  <c r="J10" i="6"/>
  <c r="K10" i="6"/>
  <c r="M10" i="6"/>
  <c r="M20" i="6" s="1"/>
  <c r="M22" i="6" s="1"/>
  <c r="M23" i="6" s="1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I10" i="6"/>
  <c r="I13" i="6" l="1"/>
  <c r="I14" i="6" s="1"/>
  <c r="M24" i="6"/>
  <c r="AC19" i="6"/>
  <c r="AB19" i="6"/>
  <c r="AC18" i="6"/>
  <c r="AB18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L16" i="6"/>
  <c r="K16" i="6"/>
  <c r="J16" i="6"/>
  <c r="AA15" i="6"/>
  <c r="Z15" i="6"/>
  <c r="Y15" i="6"/>
  <c r="X15" i="6"/>
  <c r="X17" i="6" s="1"/>
  <c r="X20" i="6" s="1"/>
  <c r="X22" i="6" s="1"/>
  <c r="X23" i="6" s="1"/>
  <c r="X24" i="6" s="1"/>
  <c r="W15" i="6"/>
  <c r="V15" i="6"/>
  <c r="V17" i="6" s="1"/>
  <c r="V20" i="6" s="1"/>
  <c r="V22" i="6" s="1"/>
  <c r="V23" i="6" s="1"/>
  <c r="V24" i="6" s="1"/>
  <c r="U15" i="6"/>
  <c r="T15" i="6"/>
  <c r="S15" i="6"/>
  <c r="R15" i="6"/>
  <c r="Q15" i="6"/>
  <c r="P15" i="6"/>
  <c r="P17" i="6" s="1"/>
  <c r="P20" i="6" s="1"/>
  <c r="P22" i="6" s="1"/>
  <c r="P23" i="6" s="1"/>
  <c r="P24" i="6" s="1"/>
  <c r="O15" i="6"/>
  <c r="N15" i="6"/>
  <c r="N17" i="6" s="1"/>
  <c r="N20" i="6" s="1"/>
  <c r="N22" i="6" s="1"/>
  <c r="N23" i="6" s="1"/>
  <c r="N24" i="6" s="1"/>
  <c r="L15" i="6"/>
  <c r="K15" i="6"/>
  <c r="J15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J12" i="6"/>
  <c r="AA11" i="6"/>
  <c r="AA13" i="6" s="1"/>
  <c r="AA14" i="6" s="1"/>
  <c r="Z11" i="6"/>
  <c r="Y11" i="6"/>
  <c r="X11" i="6"/>
  <c r="X26" i="6" s="1"/>
  <c r="W11" i="6"/>
  <c r="V11" i="6"/>
  <c r="U11" i="6"/>
  <c r="T11" i="6"/>
  <c r="S11" i="6"/>
  <c r="R11" i="6"/>
  <c r="Q11" i="6"/>
  <c r="P11" i="6"/>
  <c r="O11" i="6"/>
  <c r="N11" i="6"/>
  <c r="M11" i="6"/>
  <c r="L11" i="6"/>
  <c r="J11" i="6"/>
  <c r="AC9" i="6"/>
  <c r="AC8" i="6"/>
  <c r="AC7" i="6"/>
  <c r="AC6" i="6"/>
  <c r="AC5" i="6"/>
  <c r="AC4" i="6"/>
  <c r="AC3" i="6"/>
  <c r="N13" i="6" l="1"/>
  <c r="N14" i="6" s="1"/>
  <c r="Y25" i="6"/>
  <c r="J25" i="6"/>
  <c r="Y17" i="6"/>
  <c r="Y20" i="6" s="1"/>
  <c r="Y22" i="6" s="1"/>
  <c r="Y23" i="6" s="1"/>
  <c r="Y24" i="6" s="1"/>
  <c r="I26" i="6"/>
  <c r="I27" i="6" s="1"/>
  <c r="U17" i="6"/>
  <c r="U20" i="6" s="1"/>
  <c r="U22" i="6" s="1"/>
  <c r="U23" i="6" s="1"/>
  <c r="U24" i="6" s="1"/>
  <c r="L26" i="6"/>
  <c r="L25" i="6"/>
  <c r="L27" i="6" s="1"/>
  <c r="L13" i="6"/>
  <c r="L14" i="6" s="1"/>
  <c r="R17" i="6"/>
  <c r="R20" i="6" s="1"/>
  <c r="R22" i="6" s="1"/>
  <c r="R23" i="6" s="1"/>
  <c r="R24" i="6" s="1"/>
  <c r="Z17" i="6"/>
  <c r="Z20" i="6" s="1"/>
  <c r="Z22" i="6" s="1"/>
  <c r="Z23" i="6" s="1"/>
  <c r="Z24" i="6" s="1"/>
  <c r="M26" i="6"/>
  <c r="M25" i="6"/>
  <c r="J17" i="6"/>
  <c r="J20" i="6" s="1"/>
  <c r="J22" i="6" s="1"/>
  <c r="J23" i="6" s="1"/>
  <c r="J24" i="6" s="1"/>
  <c r="M13" i="6"/>
  <c r="M14" i="6" s="1"/>
  <c r="V25" i="6"/>
  <c r="U25" i="6"/>
  <c r="I20" i="6"/>
  <c r="K13" i="6"/>
  <c r="K14" i="6" s="1"/>
  <c r="O17" i="6"/>
  <c r="O20" i="6" s="1"/>
  <c r="O22" i="6" s="1"/>
  <c r="O23" i="6" s="1"/>
  <c r="O24" i="6" s="1"/>
  <c r="W17" i="6"/>
  <c r="W20" i="6" s="1"/>
  <c r="W22" i="6" s="1"/>
  <c r="W23" i="6" s="1"/>
  <c r="W24" i="6" s="1"/>
  <c r="U13" i="6"/>
  <c r="U14" i="6" s="1"/>
  <c r="X13" i="6"/>
  <c r="X14" i="6" s="1"/>
  <c r="N26" i="6"/>
  <c r="V26" i="6"/>
  <c r="L17" i="6"/>
  <c r="L20" i="6" s="1"/>
  <c r="L22" i="6" s="1"/>
  <c r="L23" i="6" s="1"/>
  <c r="L24" i="6" s="1"/>
  <c r="T17" i="6"/>
  <c r="T20" i="6" s="1"/>
  <c r="T22" i="6" s="1"/>
  <c r="T23" i="6" s="1"/>
  <c r="T24" i="6" s="1"/>
  <c r="N25" i="6"/>
  <c r="Y13" i="6"/>
  <c r="Y14" i="6" s="1"/>
  <c r="O26" i="6"/>
  <c r="W26" i="6"/>
  <c r="AB16" i="6"/>
  <c r="AC16" i="6"/>
  <c r="Y26" i="6"/>
  <c r="V13" i="6"/>
  <c r="V14" i="6" s="1"/>
  <c r="K25" i="6"/>
  <c r="S25" i="6"/>
  <c r="AA25" i="6"/>
  <c r="Q17" i="6"/>
  <c r="Q20" i="6" s="1"/>
  <c r="Q22" i="6" s="1"/>
  <c r="Q23" i="6" s="1"/>
  <c r="Q24" i="6" s="1"/>
  <c r="Q26" i="6"/>
  <c r="U26" i="6"/>
  <c r="J13" i="6"/>
  <c r="J14" i="6" s="1"/>
  <c r="R26" i="6"/>
  <c r="S17" i="6"/>
  <c r="S20" i="6" s="1"/>
  <c r="S22" i="6" s="1"/>
  <c r="S23" i="6" s="1"/>
  <c r="S24" i="6" s="1"/>
  <c r="AA17" i="6"/>
  <c r="AA20" i="6" s="1"/>
  <c r="AA22" i="6" s="1"/>
  <c r="AA23" i="6" s="1"/>
  <c r="AA24" i="6" s="1"/>
  <c r="T13" i="6"/>
  <c r="T14" i="6" s="1"/>
  <c r="R25" i="6"/>
  <c r="P26" i="6"/>
  <c r="T25" i="6"/>
  <c r="S13" i="6"/>
  <c r="S14" i="6" s="1"/>
  <c r="AC12" i="6"/>
  <c r="Q13" i="6"/>
  <c r="Q14" i="6" s="1"/>
  <c r="Q25" i="6"/>
  <c r="P13" i="6"/>
  <c r="P14" i="6" s="1"/>
  <c r="Z13" i="6"/>
  <c r="Z14" i="6" s="1"/>
  <c r="AC11" i="6"/>
  <c r="Z25" i="6"/>
  <c r="AC15" i="6"/>
  <c r="AB15" i="6"/>
  <c r="K17" i="6"/>
  <c r="K20" i="6" s="1"/>
  <c r="K22" i="6" s="1"/>
  <c r="K23" i="6" s="1"/>
  <c r="K24" i="6" s="1"/>
  <c r="P25" i="6"/>
  <c r="X25" i="6"/>
  <c r="K26" i="6"/>
  <c r="S26" i="6"/>
  <c r="AA26" i="6"/>
  <c r="O25" i="6"/>
  <c r="Z26" i="6"/>
  <c r="AB12" i="6"/>
  <c r="O13" i="6"/>
  <c r="O14" i="6" s="1"/>
  <c r="W13" i="6"/>
  <c r="W14" i="6" s="1"/>
  <c r="T26" i="6"/>
  <c r="AC10" i="6"/>
  <c r="J26" i="6"/>
  <c r="J27" i="6" s="1"/>
  <c r="AB10" i="6"/>
  <c r="W25" i="6"/>
  <c r="AB11" i="6"/>
  <c r="R13" i="6"/>
  <c r="R14" i="6" s="1"/>
  <c r="L28" i="6" l="1"/>
  <c r="L29" i="6"/>
  <c r="I29" i="6"/>
  <c r="I30" i="6" s="1"/>
  <c r="I36" i="6" s="1"/>
  <c r="I28" i="6"/>
  <c r="W27" i="6"/>
  <c r="J28" i="6"/>
  <c r="J29" i="6"/>
  <c r="J30" i="6" s="1"/>
  <c r="J36" i="6" s="1"/>
  <c r="J37" i="6" s="1"/>
  <c r="AB20" i="6"/>
  <c r="AC20" i="6"/>
  <c r="I22" i="6"/>
  <c r="L30" i="6"/>
  <c r="L36" i="6" s="1"/>
  <c r="L37" i="6" s="1"/>
  <c r="Q27" i="6"/>
  <c r="Q29" i="6" s="1"/>
  <c r="S27" i="6"/>
  <c r="S29" i="6" s="1"/>
  <c r="K27" i="6"/>
  <c r="N27" i="6"/>
  <c r="M27" i="6"/>
  <c r="O27" i="6"/>
  <c r="O29" i="6" s="1"/>
  <c r="Z27" i="6"/>
  <c r="Z29" i="6" s="1"/>
  <c r="T27" i="6"/>
  <c r="U27" i="6"/>
  <c r="X27" i="6"/>
  <c r="R27" i="6"/>
  <c r="V27" i="6"/>
  <c r="V29" i="6" s="1"/>
  <c r="P27" i="6"/>
  <c r="AA27" i="6"/>
  <c r="AA29" i="6" s="1"/>
  <c r="Y27" i="6"/>
  <c r="AC13" i="6"/>
  <c r="AB26" i="6"/>
  <c r="AC26" i="6"/>
  <c r="AC17" i="6"/>
  <c r="AC25" i="6"/>
  <c r="AB25" i="6"/>
  <c r="AB17" i="6"/>
  <c r="AC14" i="6"/>
  <c r="AB14" i="6"/>
  <c r="AB13" i="6"/>
  <c r="I37" i="6" l="1"/>
  <c r="J31" i="6"/>
  <c r="N28" i="6"/>
  <c r="N29" i="6"/>
  <c r="N30" i="6" s="1"/>
  <c r="N36" i="6" s="1"/>
  <c r="N37" i="6" s="1"/>
  <c r="M28" i="6"/>
  <c r="M29" i="6"/>
  <c r="W28" i="6"/>
  <c r="W29" i="6"/>
  <c r="W30" i="6" s="1"/>
  <c r="W36" i="6" s="1"/>
  <c r="W37" i="6" s="1"/>
  <c r="L31" i="6"/>
  <c r="I31" i="6"/>
  <c r="P28" i="6"/>
  <c r="P29" i="6"/>
  <c r="P30" i="6" s="1"/>
  <c r="P36" i="6" s="1"/>
  <c r="P37" i="6" s="1"/>
  <c r="K28" i="6"/>
  <c r="K29" i="6"/>
  <c r="K30" i="6" s="1"/>
  <c r="K36" i="6" s="1"/>
  <c r="K37" i="6" s="1"/>
  <c r="Y28" i="6"/>
  <c r="Y29" i="6"/>
  <c r="R28" i="6"/>
  <c r="R29" i="6"/>
  <c r="X28" i="6"/>
  <c r="X29" i="6"/>
  <c r="U28" i="6"/>
  <c r="U29" i="6"/>
  <c r="U30" i="6" s="1"/>
  <c r="U36" i="6" s="1"/>
  <c r="U37" i="6" s="1"/>
  <c r="T28" i="6"/>
  <c r="T29" i="6"/>
  <c r="O28" i="6"/>
  <c r="Q28" i="6"/>
  <c r="Q30" i="6" s="1"/>
  <c r="Q36" i="6" s="1"/>
  <c r="Q37" i="6" s="1"/>
  <c r="V28" i="6"/>
  <c r="V30" i="6" s="1"/>
  <c r="V36" i="6" s="1"/>
  <c r="V37" i="6" s="1"/>
  <c r="Z30" i="6"/>
  <c r="Z36" i="6" s="1"/>
  <c r="Z37" i="6" s="1"/>
  <c r="Z28" i="6"/>
  <c r="AA28" i="6"/>
  <c r="AA30" i="6" s="1"/>
  <c r="AA36" i="6" s="1"/>
  <c r="AA37" i="6" s="1"/>
  <c r="S28" i="6"/>
  <c r="S30" i="6" s="1"/>
  <c r="S36" i="6" s="1"/>
  <c r="S37" i="6" s="1"/>
  <c r="AB22" i="6"/>
  <c r="AC22" i="6"/>
  <c r="I23" i="6"/>
  <c r="AB27" i="6"/>
  <c r="AC27" i="6"/>
  <c r="U31" i="6" l="1"/>
  <c r="Z31" i="6"/>
  <c r="K31" i="6"/>
  <c r="W31" i="6"/>
  <c r="Q31" i="6"/>
  <c r="V31" i="6"/>
  <c r="M30" i="6"/>
  <c r="M36" i="6" s="1"/>
  <c r="M37" i="6" s="1"/>
  <c r="R30" i="6"/>
  <c r="R36" i="6" s="1"/>
  <c r="R37" i="6" s="1"/>
  <c r="AA31" i="6"/>
  <c r="P31" i="6"/>
  <c r="X30" i="6"/>
  <c r="X36" i="6" s="1"/>
  <c r="X37" i="6" s="1"/>
  <c r="N31" i="6"/>
  <c r="AB28" i="6"/>
  <c r="S31" i="6"/>
  <c r="T30" i="6"/>
  <c r="T36" i="6" s="1"/>
  <c r="T37" i="6" s="1"/>
  <c r="Y30" i="6"/>
  <c r="Y36" i="6" s="1"/>
  <c r="Y37" i="6" s="1"/>
  <c r="AC28" i="6"/>
  <c r="O30" i="6"/>
  <c r="O36" i="6" s="1"/>
  <c r="O37" i="6" s="1"/>
  <c r="I24" i="6"/>
  <c r="AB23" i="6"/>
  <c r="AC23" i="6"/>
  <c r="AC29" i="6"/>
  <c r="AB29" i="6"/>
  <c r="AC37" i="6" l="1"/>
  <c r="AC36" i="6"/>
  <c r="AB36" i="6"/>
  <c r="AB37" i="6"/>
  <c r="AB38" i="6" s="1"/>
  <c r="O31" i="6"/>
  <c r="X31" i="6"/>
  <c r="R31" i="6"/>
  <c r="M31" i="6"/>
  <c r="Y31" i="6"/>
  <c r="T31" i="6"/>
  <c r="AC24" i="6"/>
  <c r="AB24" i="6"/>
  <c r="AC30" i="6"/>
  <c r="AB30" i="6"/>
  <c r="AB31" i="6" l="1"/>
  <c r="AC3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tc={02964F4D-8B6A-488A-A7E4-94865852668A}</author>
  </authors>
  <commentList>
    <comment ref="AA2" authorId="0" shapeId="0" xr:uid="{02964F4D-8B6A-488A-A7E4-94865852668A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No recent design or update</t>
      </text>
    </comment>
  </commentList>
</comments>
</file>

<file path=xl/sharedStrings.xml><?xml version="1.0" encoding="utf-8"?>
<sst xmlns="http://schemas.openxmlformats.org/spreadsheetml/2006/main" count="175" uniqueCount="124">
  <si>
    <t>Items</t>
    <phoneticPr fontId="1" type="noConversion"/>
  </si>
  <si>
    <t xml:space="preserve"> WTG-04 </t>
  </si>
  <si>
    <t xml:space="preserve"> WTG-06 </t>
  </si>
  <si>
    <t xml:space="preserve"> WTG-07 </t>
  </si>
  <si>
    <t xml:space="preserve"> WTG-08 </t>
  </si>
  <si>
    <t xml:space="preserve"> WTG-09 </t>
  </si>
  <si>
    <t xml:space="preserve"> WTG-10 </t>
  </si>
  <si>
    <t xml:space="preserve"> WTG-11 </t>
  </si>
  <si>
    <t xml:space="preserve"> WTG-12 </t>
  </si>
  <si>
    <t xml:space="preserve"> WTG-13 </t>
  </si>
  <si>
    <t xml:space="preserve"> WTG-14 </t>
  </si>
  <si>
    <t xml:space="preserve"> WTG-17 </t>
  </si>
  <si>
    <t xml:space="preserve"> WTG-18 </t>
  </si>
  <si>
    <t xml:space="preserve"> WTG-19 </t>
  </si>
  <si>
    <t xml:space="preserve"> WTG-20 </t>
  </si>
  <si>
    <t xml:space="preserve"> WTG-21 </t>
  </si>
  <si>
    <t xml:space="preserve"> WTG-23 </t>
  </si>
  <si>
    <t xml:space="preserve"> WTG-25 </t>
  </si>
  <si>
    <t xml:space="preserve"> WTG-26 </t>
  </si>
  <si>
    <t xml:space="preserve"> OSS </t>
  </si>
  <si>
    <t>Sum</t>
    <phoneticPr fontId="1" type="noConversion"/>
  </si>
  <si>
    <t>Average</t>
    <phoneticPr fontId="1" type="noConversion"/>
  </si>
  <si>
    <t xml:space="preserve"> Remark </t>
  </si>
  <si>
    <t>condition</t>
    <phoneticPr fontId="1" type="noConversion"/>
  </si>
  <si>
    <t xml:space="preserve"> Pin-Pile </t>
  </si>
  <si>
    <t xml:space="preserve"> Length</t>
    <phoneticPr fontId="1" type="noConversion"/>
  </si>
  <si>
    <t>-</t>
    <phoneticPr fontId="1" type="noConversion"/>
  </si>
  <si>
    <t>m</t>
    <phoneticPr fontId="1" type="noConversion"/>
  </si>
  <si>
    <t xml:space="preserve"> Stick up</t>
    <phoneticPr fontId="1" type="noConversion"/>
  </si>
  <si>
    <t xml:space="preserve">m </t>
    <phoneticPr fontId="1" type="noConversion"/>
  </si>
  <si>
    <t xml:space="preserve">Insert-Pile </t>
    <phoneticPr fontId="1" type="noConversion"/>
  </si>
  <si>
    <t xml:space="preserve"> Overlap length</t>
    <phoneticPr fontId="1" type="noConversion"/>
  </si>
  <si>
    <t>Grout hose</t>
    <phoneticPr fontId="1" type="noConversion"/>
  </si>
  <si>
    <t>Net Volume</t>
    <phoneticPr fontId="1" type="noConversion"/>
  </si>
  <si>
    <t>m³/0.1m</t>
    <phoneticPr fontId="1" type="noConversion"/>
  </si>
  <si>
    <t>Net</t>
    <phoneticPr fontId="1" type="noConversion"/>
  </si>
  <si>
    <t xml:space="preserve"> Annulus</t>
    <phoneticPr fontId="1" type="noConversion"/>
  </si>
  <si>
    <t>Overlap</t>
    <phoneticPr fontId="1" type="noConversion"/>
  </si>
  <si>
    <t>m³/m</t>
    <phoneticPr fontId="1" type="noConversion"/>
  </si>
  <si>
    <t>Rock</t>
    <phoneticPr fontId="1" type="noConversion"/>
  </si>
  <si>
    <t>m³/m</t>
  </si>
  <si>
    <t>Total net volume for grouting/WTG</t>
    <phoneticPr fontId="1" type="noConversion"/>
  </si>
  <si>
    <r>
      <t>piles</t>
    </r>
    <r>
      <rPr>
        <sz val="11"/>
        <color theme="1"/>
        <rFont val="맑은 고딕 Semilight"/>
        <family val="3"/>
        <charset val="129"/>
      </rPr>
      <t>·</t>
    </r>
    <r>
      <rPr>
        <sz val="11"/>
        <color theme="1"/>
        <rFont val="맑은 고딕"/>
        <family val="2"/>
        <charset val="129"/>
        <scheme val="minor"/>
      </rPr>
      <t>m³</t>
    </r>
    <phoneticPr fontId="1" type="noConversion"/>
  </si>
  <si>
    <t>m³/pile</t>
    <phoneticPr fontId="1" type="noConversion"/>
  </si>
  <si>
    <t>Loss</t>
    <phoneticPr fontId="1" type="noConversion"/>
  </si>
  <si>
    <t>Grout pipe capacity (4 inchs)</t>
    <phoneticPr fontId="1" type="noConversion"/>
  </si>
  <si>
    <t>4inch: approx. 9 L/m</t>
    <phoneticPr fontId="1" type="noConversion"/>
  </si>
  <si>
    <t>Grout hose capacity (4 inchs)</t>
    <phoneticPr fontId="1" type="noConversion"/>
  </si>
  <si>
    <t>Equipment</t>
    <phoneticPr fontId="1" type="noConversion"/>
  </si>
  <si>
    <t>Mixer pump hopper/batch</t>
    <phoneticPr fontId="1" type="noConversion"/>
  </si>
  <si>
    <t>m³</t>
    <phoneticPr fontId="1" type="noConversion"/>
  </si>
  <si>
    <t>Mixer/batch</t>
    <phoneticPr fontId="1" type="noConversion"/>
  </si>
  <si>
    <t>Distance from inlet to case</t>
    <phoneticPr fontId="1" type="noConversion"/>
  </si>
  <si>
    <t>Distance from case to pump</t>
    <phoneticPr fontId="1" type="noConversion"/>
  </si>
  <si>
    <t>Plug</t>
    <phoneticPr fontId="1" type="noConversion"/>
  </si>
  <si>
    <t xml:space="preserve"> Unit/Volume</t>
    <phoneticPr fontId="1" type="noConversion"/>
  </si>
  <si>
    <t>(1)</t>
    <phoneticPr fontId="1" type="noConversion"/>
  </si>
  <si>
    <t>(3)</t>
    <phoneticPr fontId="1" type="noConversion"/>
  </si>
  <si>
    <t>(4)</t>
    <phoneticPr fontId="1" type="noConversion"/>
  </si>
  <si>
    <t>(2)</t>
    <phoneticPr fontId="1" type="noConversion"/>
  </si>
  <si>
    <t>(5)</t>
    <phoneticPr fontId="1" type="noConversion"/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</si>
  <si>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</si>
  <si>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</si>
  <si>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</si>
  <si>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</si>
  <si>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</si>
  <si>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</si>
  <si>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</si>
  <si>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</si>
  <si>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</si>
  <si>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</si>
  <si>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</si>
  <si>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</si>
  <si>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(21)</t>
  </si>
  <si>
    <t>(22)</t>
  </si>
  <si>
    <t>(23)</t>
  </si>
  <si>
    <t>(24)</t>
  </si>
  <si>
    <t>(25)</t>
  </si>
  <si>
    <t>(8)+(9)+(10)</t>
    <phoneticPr fontId="1" type="noConversion"/>
  </si>
  <si>
    <t>(13)+(14)</t>
    <phoneticPr fontId="1" type="noConversion"/>
  </si>
  <si>
    <t>(18)</t>
    <phoneticPr fontId="1" type="noConversion"/>
  </si>
  <si>
    <t>(19)</t>
    <phoneticPr fontId="1" type="noConversion"/>
  </si>
  <si>
    <t xml:space="preserve">Mixing volume for plug grout </t>
    <phoneticPr fontId="1" type="noConversion"/>
  </si>
  <si>
    <t>Filling small cavity &amp; ununiform wall - 5%</t>
    <phoneticPr fontId="1" type="noConversion"/>
  </si>
  <si>
    <t>(9+10) * 0.05</t>
    <phoneticPr fontId="1" type="noConversion"/>
  </si>
  <si>
    <t>(9+10) * 0.25</t>
    <phoneticPr fontId="1" type="noConversion"/>
  </si>
  <si>
    <t xml:space="preserve">Total loss from pipe and hose </t>
    <phoneticPr fontId="1" type="noConversion"/>
  </si>
  <si>
    <t>(6+7) * volume</t>
    <phoneticPr fontId="1" type="noConversion"/>
  </si>
  <si>
    <t>(3) * volume</t>
    <phoneticPr fontId="1" type="noConversion"/>
  </si>
  <si>
    <t>(11) * 4</t>
    <phoneticPr fontId="1" type="noConversion"/>
  </si>
  <si>
    <t>R/S Annulus</t>
    <phoneticPr fontId="1" type="noConversion"/>
  </si>
  <si>
    <t>R/S Plug</t>
    <phoneticPr fontId="1" type="noConversion"/>
  </si>
  <si>
    <t>Grout Pipe
 and hose</t>
    <phoneticPr fontId="1" type="noConversion"/>
  </si>
  <si>
    <t xml:space="preserve"> R/S 
Grouting </t>
    <phoneticPr fontId="1" type="noConversion"/>
  </si>
  <si>
    <r>
      <t>Overflow -</t>
    </r>
    <r>
      <rPr>
        <b/>
        <sz val="11"/>
        <color theme="1"/>
        <rFont val="맑은 고딕"/>
        <charset val="129"/>
        <scheme val="minor"/>
      </rPr>
      <t xml:space="preserve"> 25%</t>
    </r>
    <phoneticPr fontId="1" type="noConversion"/>
  </si>
  <si>
    <r>
      <t>Total grout volume</t>
    </r>
    <r>
      <rPr>
        <b/>
        <sz val="12"/>
        <color theme="1"/>
        <rFont val="맑은 고딕"/>
        <charset val="129"/>
        <scheme val="minor"/>
      </rPr>
      <t xml:space="preserve"> plug+annulus/pile</t>
    </r>
    <phoneticPr fontId="1" type="noConversion"/>
  </si>
  <si>
    <r>
      <t>Total grout volume</t>
    </r>
    <r>
      <rPr>
        <b/>
        <sz val="12"/>
        <color theme="1"/>
        <rFont val="맑은 고딕"/>
        <charset val="129"/>
        <scheme val="minor"/>
      </rPr>
      <t xml:space="preserve"> plug+annulus/WTG</t>
    </r>
    <phoneticPr fontId="1" type="noConversion"/>
  </si>
  <si>
    <t>(24) * 4</t>
    <phoneticPr fontId="1" type="noConversion"/>
  </si>
  <si>
    <t>Total</t>
    <phoneticPr fontId="1" type="noConversion"/>
  </si>
  <si>
    <t xml:space="preserve"> Plug (0.1m) </t>
    <phoneticPr fontId="1" type="noConversion"/>
  </si>
  <si>
    <t xml:space="preserve">Total loss including pipe &amp; hose, and overflow </t>
    <phoneticPr fontId="1" type="noConversion"/>
  </si>
  <si>
    <t>(20)</t>
  </si>
  <si>
    <t>30% contingency for overflow and cavity</t>
    <phoneticPr fontId="1" type="noConversion"/>
  </si>
  <si>
    <t>Total height based on injection volume</t>
    <phoneticPr fontId="1" type="noConversion"/>
  </si>
  <si>
    <r>
      <t>m/0.804m</t>
    </r>
    <r>
      <rPr>
        <vertAlign val="superscript"/>
        <sz val="11"/>
        <color theme="1"/>
        <rFont val="맑은 고딕"/>
        <family val="3"/>
        <charset val="129"/>
        <scheme val="minor"/>
      </rPr>
      <t>3</t>
    </r>
    <phoneticPr fontId="1" type="noConversion"/>
  </si>
  <si>
    <t>Necessary grout volume for plug grout (0,1m + Loss)</t>
  </si>
  <si>
    <t>Residual volume</t>
    <phoneticPr fontId="1" type="noConversion"/>
  </si>
  <si>
    <t>Additional height based on residual volume</t>
    <phoneticPr fontId="1" type="noConversion"/>
  </si>
  <si>
    <t>Total annulus volume excluding plug grout</t>
    <phoneticPr fontId="1" type="noConversion"/>
  </si>
  <si>
    <t>(26)</t>
  </si>
  <si>
    <t>(27)</t>
  </si>
  <si>
    <t>(28)</t>
  </si>
  <si>
    <t>(29)</t>
  </si>
  <si>
    <t>D=3.2</t>
    <phoneticPr fontId="1" type="noConversion"/>
  </si>
  <si>
    <t>(4) * area</t>
    <phoneticPr fontId="1" type="noConversion"/>
  </si>
  <si>
    <t>(3-4-5) * area</t>
    <phoneticPr fontId="1" type="noConversion"/>
  </si>
  <si>
    <t>L/m</t>
    <phoneticPr fontId="1" type="noConversion"/>
  </si>
  <si>
    <t>(23)+(24)</t>
    <phoneticPr fontId="1" type="noConversion"/>
  </si>
  <si>
    <t>(15)+(25)</t>
    <phoneticPr fontId="1" type="noConversion"/>
  </si>
  <si>
    <t>(9)+(10)+(15)+(25)</t>
    <phoneticPr fontId="1" type="noConversion"/>
  </si>
  <si>
    <t>(19)+(23)</t>
    <phoneticPr fontId="1" type="noConversion"/>
  </si>
  <si>
    <t>ton/m3</t>
    <phoneticPr fontId="1" type="noConversion"/>
  </si>
  <si>
    <t>piles*tons</t>
    <phoneticPr fontId="1" type="noConversion"/>
  </si>
  <si>
    <r>
      <t>1BB=1.075 m</t>
    </r>
    <r>
      <rPr>
        <vertAlign val="superscript"/>
        <sz val="12"/>
        <color theme="1"/>
        <rFont val="맑은 고딕"/>
        <family val="3"/>
        <charset val="129"/>
        <scheme val="minor"/>
      </rPr>
      <t>3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</si>
</sst>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"/>
    <numFmt numFmtId="182" formatCode="0.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charset val="129"/>
      <scheme val="minor"/>
    </font>
    <font>
      <sz val="11"/>
      <color theme="1"/>
      <name val="맑은 고딕 Semilight"/>
      <family val="3"/>
      <charset val="129"/>
    </font>
    <font>
      <sz val="11"/>
      <color theme="1"/>
      <name val="맑은 고딕"/>
      <charset val="129"/>
      <scheme val="minor"/>
    </font>
    <font>
      <sz val="11"/>
      <color theme="1"/>
      <name val="맑은 고딕"/>
      <charset val="129"/>
    </font>
    <font>
      <b/>
      <sz val="12"/>
      <color theme="1"/>
      <name val="맑은 고딕"/>
      <charset val="129"/>
      <scheme val="minor"/>
    </font>
    <font>
      <b/>
      <sz val="16"/>
      <color theme="1"/>
      <name val="맑은 고딕"/>
      <charset val="129"/>
      <scheme val="minor"/>
    </font>
    <font>
      <vertAlign val="superscript"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vertAlign val="superscript"/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0" fontId="0" fillId="3" borderId="16" xfId="0" quotePrefix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1" xfId="0" quotePrefix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31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quotePrefix="1" applyFont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27" xfId="0" quotePrefix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6" xfId="0" quotePrefix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77" fontId="0" fillId="3" borderId="16" xfId="0" applyNumberFormat="1" applyFill="1" applyBorder="1" applyAlignment="1">
      <alignment horizontal="center" vertical="center"/>
    </xf>
    <xf numFmtId="177" fontId="0" fillId="4" borderId="11" xfId="0" applyNumberFormat="1" applyFill="1" applyBorder="1" applyAlignment="1">
      <alignment horizontal="center" vertical="center"/>
    </xf>
    <xf numFmtId="0" fontId="4" fillId="0" borderId="29" xfId="0" quotePrefix="1" applyFont="1" applyBorder="1" applyAlignment="1">
      <alignment horizontal="center" vertical="center" wrapText="1"/>
    </xf>
    <xf numFmtId="0" fontId="0" fillId="0" borderId="44" xfId="0" quotePrefix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46" xfId="0" applyBorder="1">
      <alignment vertical="center"/>
    </xf>
    <xf numFmtId="2" fontId="0" fillId="0" borderId="12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2" xfId="0" applyNumberFormat="1" applyFill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0" fontId="9" fillId="0" borderId="46" xfId="0" applyFont="1" applyBorder="1">
      <alignment vertical="center"/>
    </xf>
    <xf numFmtId="0" fontId="9" fillId="0" borderId="0" xfId="0" applyFont="1">
      <alignment vertical="center"/>
    </xf>
    <xf numFmtId="0" fontId="10" fillId="0" borderId="36" xfId="0" quotePrefix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1" xfId="0" quotePrefix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33" xfId="0" quotePrefix="1" applyFont="1" applyBorder="1" applyAlignment="1">
      <alignment horizontal="center" vertical="center"/>
    </xf>
    <xf numFmtId="0" fontId="11" fillId="0" borderId="31" xfId="0" quotePrefix="1" applyFont="1" applyBorder="1" applyAlignment="1">
      <alignment horizontal="center" vertical="center"/>
    </xf>
    <xf numFmtId="0" fontId="12" fillId="0" borderId="31" xfId="0" quotePrefix="1" applyFont="1" applyBorder="1" applyAlignment="1">
      <alignment horizontal="center" vertical="center"/>
    </xf>
    <xf numFmtId="0" fontId="11" fillId="0" borderId="36" xfId="0" quotePrefix="1" applyFont="1" applyBorder="1" applyAlignment="1">
      <alignment horizontal="center" vertical="center"/>
    </xf>
    <xf numFmtId="0" fontId="11" fillId="0" borderId="33" xfId="0" quotePrefix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12" fillId="0" borderId="34" xfId="0" quotePrefix="1" applyFont="1" applyBorder="1" applyAlignment="1">
      <alignment horizontal="center" vertical="center"/>
    </xf>
    <xf numFmtId="0" fontId="12" fillId="0" borderId="35" xfId="0" quotePrefix="1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3" borderId="48" xfId="0" applyFill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0" fontId="9" fillId="0" borderId="16" xfId="0" quotePrefix="1" applyFont="1" applyBorder="1" applyAlignment="1">
      <alignment horizontal="center" vertical="center"/>
    </xf>
    <xf numFmtId="0" fontId="0" fillId="4" borderId="39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41" xfId="0" applyFill="1" applyBorder="1">
      <alignment vertical="center"/>
    </xf>
    <xf numFmtId="0" fontId="11" fillId="0" borderId="41" xfId="0" applyFont="1" applyBorder="1">
      <alignment vertical="center"/>
    </xf>
    <xf numFmtId="2" fontId="0" fillId="0" borderId="39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4" borderId="39" xfId="0" applyNumberFormat="1" applyFill="1" applyBorder="1" applyAlignment="1">
      <alignment horizontal="center" vertical="center"/>
    </xf>
    <xf numFmtId="2" fontId="0" fillId="3" borderId="32" xfId="0" applyNumberFormat="1" applyFill="1" applyBorder="1" applyAlignment="1">
      <alignment horizontal="center" vertical="center"/>
    </xf>
    <xf numFmtId="2" fontId="0" fillId="3" borderId="41" xfId="0" applyNumberFormat="1" applyFill="1" applyBorder="1" applyAlignment="1">
      <alignment horizontal="center" vertical="center"/>
    </xf>
    <xf numFmtId="2" fontId="9" fillId="0" borderId="41" xfId="0" applyNumberFormat="1" applyFont="1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2" fontId="9" fillId="0" borderId="32" xfId="0" applyNumberFormat="1" applyFon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2" fillId="4" borderId="10" xfId="0" applyNumberFormat="1" applyFon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182" fontId="0" fillId="0" borderId="21" xfId="0" applyNumberFormat="1" applyBorder="1" applyAlignment="1">
      <alignment horizontal="center" vertical="center"/>
    </xf>
    <xf numFmtId="182" fontId="0" fillId="0" borderId="24" xfId="0" applyNumberFormat="1" applyBorder="1" applyAlignment="1">
      <alignment horizontal="center" vertical="center"/>
    </xf>
    <xf numFmtId="182" fontId="0" fillId="0" borderId="22" xfId="0" applyNumberFormat="1" applyBorder="1" applyAlignment="1">
      <alignment horizontal="center" vertical="center"/>
    </xf>
    <xf numFmtId="182" fontId="0" fillId="0" borderId="27" xfId="0" applyNumberFormat="1" applyBorder="1" applyAlignment="1">
      <alignment horizontal="center" vertical="center"/>
    </xf>
    <xf numFmtId="182" fontId="0" fillId="0" borderId="38" xfId="0" applyNumberFormat="1" applyBorder="1" applyAlignment="1">
      <alignment horizontal="center" vertical="center"/>
    </xf>
    <xf numFmtId="182" fontId="0" fillId="0" borderId="28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m, Genie" id="{365FE7AF-135A-4719-8BB9-C9924AF7E06B}" userId="S::8039350@itwconnect.com::eb952f37-6738-4b16-88f4-2bbeab05a991" providerId="AD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2" dT="2026-03-12T00:48:02.79" personId="{365FE7AF-135A-4719-8BB9-C9924AF7E06B}" id="{02964F4D-8B6A-488A-A7E4-94865852668A}">
    <text>No recent design or update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C032-8A68-4641-B586-BA2B0AD533E2}">
  <sheetPr>
    <pageSetUpPr fitToPage="1"/>
  </sheetPr>
  <dimension ref="A1:AD47"/>
  <sheetViews>
    <sheetView tabSelected="1" topLeftCell="F1" zoomScale="40" zoomScaleNormal="40" zoomScaleSheetLayoutView="40" workbookViewId="0">
      <selection activeCell="AC43" sqref="AC43"/>
    </sheetView>
  </sheetViews>
  <sheetFormatPr defaultRowHeight="17.399999999999999" x14ac:dyDescent="0.4"/>
  <cols>
    <col min="1" max="1" width="10.8984375" customWidth="1"/>
    <col min="2" max="2" width="9.69921875" customWidth="1"/>
    <col min="3" max="3" width="4.3984375" customWidth="1"/>
    <col min="4" max="4" width="22.296875" customWidth="1"/>
    <col min="5" max="5" width="13.3984375" customWidth="1"/>
    <col min="6" max="6" width="34.296875" customWidth="1"/>
    <col min="7" max="7" width="12.796875" customWidth="1"/>
    <col min="8" max="8" width="14.5" customWidth="1"/>
    <col min="11" max="11" width="8.69921875" customWidth="1"/>
    <col min="28" max="28" width="12.09765625" bestFit="1" customWidth="1"/>
    <col min="29" max="29" width="13.09765625" bestFit="1" customWidth="1"/>
    <col min="30" max="30" width="55.19921875" customWidth="1"/>
  </cols>
  <sheetData>
    <row r="1" spans="1:30" x14ac:dyDescent="0.4">
      <c r="I1" s="12">
        <v>0.25</v>
      </c>
    </row>
    <row r="2" spans="1:30" x14ac:dyDescent="0.4">
      <c r="A2" s="1"/>
      <c r="B2" s="183" t="s">
        <v>0</v>
      </c>
      <c r="C2" s="183"/>
      <c r="D2" s="183"/>
      <c r="E2" s="184"/>
      <c r="F2" s="185"/>
      <c r="G2" s="186" t="s">
        <v>55</v>
      </c>
      <c r="H2" s="185"/>
      <c r="I2" s="53" t="s">
        <v>1</v>
      </c>
      <c r="J2" s="2" t="s">
        <v>2</v>
      </c>
      <c r="K2" s="2" t="s">
        <v>3</v>
      </c>
      <c r="L2" s="2" t="s">
        <v>4</v>
      </c>
      <c r="M2" s="2" t="s">
        <v>5</v>
      </c>
      <c r="N2" s="2" t="s">
        <v>6</v>
      </c>
      <c r="O2" s="2" t="s">
        <v>7</v>
      </c>
      <c r="P2" s="2" t="s">
        <v>8</v>
      </c>
      <c r="Q2" s="2" t="s">
        <v>9</v>
      </c>
      <c r="R2" s="2" t="s">
        <v>10</v>
      </c>
      <c r="S2" s="2" t="s">
        <v>11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54" t="s">
        <v>19</v>
      </c>
      <c r="AB2" s="123" t="s">
        <v>20</v>
      </c>
      <c r="AC2" s="50" t="s">
        <v>21</v>
      </c>
      <c r="AD2" s="3" t="s">
        <v>22</v>
      </c>
    </row>
    <row r="3" spans="1:30" x14ac:dyDescent="0.4">
      <c r="A3" s="165" t="s">
        <v>23</v>
      </c>
      <c r="B3" s="187" t="s">
        <v>24</v>
      </c>
      <c r="C3" s="31" t="s">
        <v>56</v>
      </c>
      <c r="D3" s="30"/>
      <c r="E3" s="155" t="s">
        <v>25</v>
      </c>
      <c r="F3" s="164"/>
      <c r="G3" s="6" t="s">
        <v>26</v>
      </c>
      <c r="H3" s="5" t="s">
        <v>27</v>
      </c>
      <c r="I3" s="4">
        <v>42</v>
      </c>
      <c r="J3" s="7">
        <v>36.4</v>
      </c>
      <c r="K3" s="7">
        <v>39.5</v>
      </c>
      <c r="L3" s="7">
        <v>37.6</v>
      </c>
      <c r="M3" s="7">
        <v>39.5</v>
      </c>
      <c r="N3" s="7">
        <v>39.6</v>
      </c>
      <c r="O3" s="7">
        <v>26.7</v>
      </c>
      <c r="P3" s="7">
        <v>37.9</v>
      </c>
      <c r="Q3" s="7">
        <v>20.9</v>
      </c>
      <c r="R3" s="7">
        <v>21.7</v>
      </c>
      <c r="S3" s="7">
        <v>17.7</v>
      </c>
      <c r="T3" s="7">
        <v>25.3</v>
      </c>
      <c r="U3" s="7">
        <v>42</v>
      </c>
      <c r="V3" s="7">
        <v>42.2</v>
      </c>
      <c r="W3" s="7">
        <v>49.2</v>
      </c>
      <c r="X3" s="7">
        <v>40.200000000000003</v>
      </c>
      <c r="Y3" s="7">
        <v>35.1</v>
      </c>
      <c r="Z3" s="7">
        <v>12.8</v>
      </c>
      <c r="AA3" s="5">
        <v>37.5</v>
      </c>
      <c r="AB3" s="124"/>
      <c r="AC3" s="113">
        <f t="shared" ref="AC3:AC31" si="0">AVERAGE(I3:AA3)</f>
        <v>33.88421052631579</v>
      </c>
      <c r="AD3" s="47" t="s">
        <v>35</v>
      </c>
    </row>
    <row r="4" spans="1:30" x14ac:dyDescent="0.4">
      <c r="A4" s="165"/>
      <c r="B4" s="188"/>
      <c r="C4" s="32" t="s">
        <v>59</v>
      </c>
      <c r="D4" s="26"/>
      <c r="E4" s="157" t="s">
        <v>28</v>
      </c>
      <c r="F4" s="135"/>
      <c r="G4" s="12" t="s">
        <v>26</v>
      </c>
      <c r="H4" s="11" t="s">
        <v>29</v>
      </c>
      <c r="I4" s="10">
        <v>1.5</v>
      </c>
      <c r="J4" s="13">
        <v>1.5</v>
      </c>
      <c r="K4" s="13">
        <v>1.6</v>
      </c>
      <c r="L4" s="13">
        <v>1.6</v>
      </c>
      <c r="M4" s="13">
        <v>1.5</v>
      </c>
      <c r="N4" s="13">
        <v>1.5</v>
      </c>
      <c r="O4" s="13">
        <v>1.5</v>
      </c>
      <c r="P4" s="13">
        <v>1.5</v>
      </c>
      <c r="Q4" s="13">
        <v>3.8</v>
      </c>
      <c r="R4" s="13">
        <v>1.5</v>
      </c>
      <c r="S4" s="13">
        <v>1.5</v>
      </c>
      <c r="T4" s="13">
        <v>1.5</v>
      </c>
      <c r="U4" s="13">
        <v>1.5</v>
      </c>
      <c r="V4" s="13">
        <v>1.5</v>
      </c>
      <c r="W4" s="13">
        <v>1.5</v>
      </c>
      <c r="X4" s="13">
        <v>1.5</v>
      </c>
      <c r="Y4" s="13">
        <v>1.5</v>
      </c>
      <c r="Z4" s="13">
        <v>2</v>
      </c>
      <c r="AA4" s="11">
        <v>2</v>
      </c>
      <c r="AB4" s="125"/>
      <c r="AC4" s="114">
        <f t="shared" si="0"/>
        <v>1.6842105263157894</v>
      </c>
      <c r="AD4" s="101" t="s">
        <v>35</v>
      </c>
    </row>
    <row r="5" spans="1:30" x14ac:dyDescent="0.4">
      <c r="A5" s="165"/>
      <c r="B5" s="189" t="s">
        <v>30</v>
      </c>
      <c r="C5" s="32" t="s">
        <v>57</v>
      </c>
      <c r="D5" s="26"/>
      <c r="E5" s="157" t="s">
        <v>25</v>
      </c>
      <c r="F5" s="135"/>
      <c r="G5" s="12" t="s">
        <v>26</v>
      </c>
      <c r="H5" s="11" t="s">
        <v>29</v>
      </c>
      <c r="I5" s="10">
        <v>12.7</v>
      </c>
      <c r="J5" s="13">
        <v>10.9</v>
      </c>
      <c r="K5" s="13">
        <v>12.7</v>
      </c>
      <c r="L5" s="13">
        <v>12.2</v>
      </c>
      <c r="M5" s="13">
        <v>12.5</v>
      </c>
      <c r="N5" s="13">
        <v>10.3</v>
      </c>
      <c r="O5" s="13">
        <v>15</v>
      </c>
      <c r="P5" s="13">
        <v>13</v>
      </c>
      <c r="Q5" s="13">
        <v>18.8</v>
      </c>
      <c r="R5" s="13">
        <v>18.5</v>
      </c>
      <c r="S5" s="13">
        <v>21.4</v>
      </c>
      <c r="T5" s="13">
        <v>17</v>
      </c>
      <c r="U5" s="13">
        <v>11.5</v>
      </c>
      <c r="V5" s="13">
        <v>11.2</v>
      </c>
      <c r="W5" s="13">
        <v>10.7</v>
      </c>
      <c r="X5" s="13">
        <v>11.4</v>
      </c>
      <c r="Y5" s="13">
        <v>10.9</v>
      </c>
      <c r="Z5" s="13">
        <v>18</v>
      </c>
      <c r="AA5" s="11">
        <v>14</v>
      </c>
      <c r="AB5" s="125"/>
      <c r="AC5" s="114">
        <f t="shared" si="0"/>
        <v>13.826315789473684</v>
      </c>
      <c r="AD5" s="101" t="s">
        <v>35</v>
      </c>
    </row>
    <row r="6" spans="1:30" x14ac:dyDescent="0.4">
      <c r="A6" s="165"/>
      <c r="B6" s="150"/>
      <c r="C6" s="32" t="s">
        <v>58</v>
      </c>
      <c r="D6" s="26"/>
      <c r="E6" s="157" t="s">
        <v>31</v>
      </c>
      <c r="F6" s="135"/>
      <c r="G6" s="12" t="s">
        <v>26</v>
      </c>
      <c r="H6" s="11" t="s">
        <v>29</v>
      </c>
      <c r="I6" s="10">
        <v>4.9000000000000004</v>
      </c>
      <c r="J6" s="13">
        <v>4.9000000000000004</v>
      </c>
      <c r="K6" s="13">
        <v>4.9000000000000004</v>
      </c>
      <c r="L6" s="13">
        <v>4.9000000000000004</v>
      </c>
      <c r="M6" s="13">
        <v>4.9000000000000004</v>
      </c>
      <c r="N6" s="13">
        <v>4.9000000000000004</v>
      </c>
      <c r="O6" s="13">
        <v>7.2</v>
      </c>
      <c r="P6" s="13">
        <v>4.9000000000000004</v>
      </c>
      <c r="Q6" s="13">
        <v>7.7</v>
      </c>
      <c r="R6" s="13">
        <v>7.5</v>
      </c>
      <c r="S6" s="13">
        <v>7.1</v>
      </c>
      <c r="T6" s="13">
        <v>7.8</v>
      </c>
      <c r="U6" s="13">
        <v>4.9000000000000004</v>
      </c>
      <c r="V6" s="13">
        <v>4.9000000000000004</v>
      </c>
      <c r="W6" s="13">
        <v>4.9000000000000004</v>
      </c>
      <c r="X6" s="13">
        <v>4.9000000000000004</v>
      </c>
      <c r="Y6" s="13">
        <v>4.9000000000000004</v>
      </c>
      <c r="Z6" s="13">
        <v>5.7</v>
      </c>
      <c r="AA6" s="11">
        <v>7</v>
      </c>
      <c r="AB6" s="125"/>
      <c r="AC6" s="114">
        <f t="shared" si="0"/>
        <v>5.726315789473686</v>
      </c>
      <c r="AD6" s="101" t="s">
        <v>35</v>
      </c>
    </row>
    <row r="7" spans="1:30" x14ac:dyDescent="0.4">
      <c r="A7" s="165"/>
      <c r="B7" s="190"/>
      <c r="C7" s="32" t="s">
        <v>60</v>
      </c>
      <c r="D7" s="26"/>
      <c r="E7" s="191" t="s">
        <v>54</v>
      </c>
      <c r="F7" s="192"/>
      <c r="G7" s="57" t="s">
        <v>26</v>
      </c>
      <c r="H7" s="58" t="s">
        <v>29</v>
      </c>
      <c r="I7" s="72">
        <v>0.1</v>
      </c>
      <c r="J7" s="56">
        <v>0.1</v>
      </c>
      <c r="K7" s="56">
        <v>0.1</v>
      </c>
      <c r="L7" s="56">
        <v>0.1</v>
      </c>
      <c r="M7" s="56">
        <v>0.1</v>
      </c>
      <c r="N7" s="56">
        <v>0.1</v>
      </c>
      <c r="O7" s="56">
        <v>0.1</v>
      </c>
      <c r="P7" s="56">
        <v>0.1</v>
      </c>
      <c r="Q7" s="56">
        <v>0.1</v>
      </c>
      <c r="R7" s="56">
        <v>0.1</v>
      </c>
      <c r="S7" s="56">
        <v>0.1</v>
      </c>
      <c r="T7" s="56">
        <v>0.1</v>
      </c>
      <c r="U7" s="56">
        <v>0.1</v>
      </c>
      <c r="V7" s="56">
        <v>0.1</v>
      </c>
      <c r="W7" s="56">
        <v>0.1</v>
      </c>
      <c r="X7" s="56">
        <v>0.1</v>
      </c>
      <c r="Y7" s="56">
        <v>0.1</v>
      </c>
      <c r="Z7" s="56">
        <v>0.1</v>
      </c>
      <c r="AA7" s="58">
        <v>0.1</v>
      </c>
      <c r="AB7" s="125"/>
      <c r="AC7" s="114">
        <f t="shared" si="0"/>
        <v>0.10000000000000003</v>
      </c>
      <c r="AD7" s="101" t="s">
        <v>35</v>
      </c>
    </row>
    <row r="8" spans="1:30" x14ac:dyDescent="0.4">
      <c r="A8" s="165"/>
      <c r="B8" s="188" t="s">
        <v>32</v>
      </c>
      <c r="C8" s="32" t="s">
        <v>61</v>
      </c>
      <c r="D8" s="26"/>
      <c r="E8" s="157" t="s">
        <v>52</v>
      </c>
      <c r="F8" s="135"/>
      <c r="G8" s="12" t="s">
        <v>26</v>
      </c>
      <c r="H8" s="11" t="s">
        <v>29</v>
      </c>
      <c r="I8" s="10">
        <v>100</v>
      </c>
      <c r="J8" s="13">
        <v>100</v>
      </c>
      <c r="K8" s="13">
        <v>100</v>
      </c>
      <c r="L8" s="13">
        <v>100</v>
      </c>
      <c r="M8" s="13">
        <v>100</v>
      </c>
      <c r="N8" s="13">
        <v>100</v>
      </c>
      <c r="O8" s="13">
        <v>100</v>
      </c>
      <c r="P8" s="13">
        <v>100</v>
      </c>
      <c r="Q8" s="13">
        <v>100</v>
      </c>
      <c r="R8" s="13">
        <v>100</v>
      </c>
      <c r="S8" s="13">
        <v>100</v>
      </c>
      <c r="T8" s="13">
        <v>100</v>
      </c>
      <c r="U8" s="13">
        <v>100</v>
      </c>
      <c r="V8" s="13">
        <v>100</v>
      </c>
      <c r="W8" s="13">
        <v>100</v>
      </c>
      <c r="X8" s="13">
        <v>100</v>
      </c>
      <c r="Y8" s="13">
        <v>100</v>
      </c>
      <c r="Z8" s="13">
        <v>100</v>
      </c>
      <c r="AA8" s="11">
        <v>100</v>
      </c>
      <c r="AB8" s="125"/>
      <c r="AC8" s="114">
        <f t="shared" si="0"/>
        <v>100</v>
      </c>
      <c r="AD8" s="101" t="s">
        <v>35</v>
      </c>
    </row>
    <row r="9" spans="1:30" x14ac:dyDescent="0.4">
      <c r="A9" s="165"/>
      <c r="B9" s="193"/>
      <c r="C9" s="33" t="s">
        <v>62</v>
      </c>
      <c r="D9" s="29"/>
      <c r="E9" s="148" t="s">
        <v>53</v>
      </c>
      <c r="F9" s="194"/>
      <c r="G9" s="16" t="s">
        <v>26</v>
      </c>
      <c r="H9" s="15" t="s">
        <v>29</v>
      </c>
      <c r="I9" s="52">
        <v>50</v>
      </c>
      <c r="J9" s="17">
        <v>50</v>
      </c>
      <c r="K9" s="17">
        <v>50</v>
      </c>
      <c r="L9" s="17">
        <v>50</v>
      </c>
      <c r="M9" s="17">
        <v>50</v>
      </c>
      <c r="N9" s="17">
        <v>50</v>
      </c>
      <c r="O9" s="17">
        <v>50</v>
      </c>
      <c r="P9" s="17">
        <v>50</v>
      </c>
      <c r="Q9" s="17">
        <v>50</v>
      </c>
      <c r="R9" s="17">
        <v>50</v>
      </c>
      <c r="S9" s="17">
        <v>50</v>
      </c>
      <c r="T9" s="17">
        <v>50</v>
      </c>
      <c r="U9" s="17">
        <v>50</v>
      </c>
      <c r="V9" s="17">
        <v>50</v>
      </c>
      <c r="W9" s="17">
        <v>50</v>
      </c>
      <c r="X9" s="17">
        <v>50</v>
      </c>
      <c r="Y9" s="17">
        <v>50</v>
      </c>
      <c r="Z9" s="17">
        <v>50</v>
      </c>
      <c r="AA9" s="15">
        <v>50</v>
      </c>
      <c r="AB9" s="126"/>
      <c r="AC9" s="115">
        <f t="shared" si="0"/>
        <v>50</v>
      </c>
      <c r="AD9" s="48" t="s">
        <v>35</v>
      </c>
    </row>
    <row r="10" spans="1:30" ht="25.2" x14ac:dyDescent="0.4">
      <c r="A10" s="172" t="s">
        <v>33</v>
      </c>
      <c r="B10" s="174" t="s">
        <v>93</v>
      </c>
      <c r="C10" s="34" t="s">
        <v>63</v>
      </c>
      <c r="D10" s="39" t="s">
        <v>113</v>
      </c>
      <c r="E10" s="177" t="s">
        <v>99</v>
      </c>
      <c r="F10" s="178"/>
      <c r="G10" s="60">
        <f>(3.14159*(3.2^2)/4)*0.1</f>
        <v>0.80424704000000014</v>
      </c>
      <c r="H10" s="27" t="s">
        <v>34</v>
      </c>
      <c r="I10" s="73">
        <f>$G$10*1</f>
        <v>0.80424704000000014</v>
      </c>
      <c r="J10" s="28">
        <f t="shared" ref="J10:AA10" si="1">$G$10*1</f>
        <v>0.80424704000000014</v>
      </c>
      <c r="K10" s="28">
        <f t="shared" si="1"/>
        <v>0.80424704000000014</v>
      </c>
      <c r="L10" s="28">
        <f>$G$10*1</f>
        <v>0.80424704000000014</v>
      </c>
      <c r="M10" s="28">
        <f t="shared" si="1"/>
        <v>0.80424704000000014</v>
      </c>
      <c r="N10" s="28">
        <f t="shared" si="1"/>
        <v>0.80424704000000014</v>
      </c>
      <c r="O10" s="28">
        <f t="shared" si="1"/>
        <v>0.80424704000000014</v>
      </c>
      <c r="P10" s="28">
        <f t="shared" si="1"/>
        <v>0.80424704000000014</v>
      </c>
      <c r="Q10" s="28">
        <f t="shared" si="1"/>
        <v>0.80424704000000014</v>
      </c>
      <c r="R10" s="28">
        <f t="shared" si="1"/>
        <v>0.80424704000000014</v>
      </c>
      <c r="S10" s="28">
        <f t="shared" si="1"/>
        <v>0.80424704000000014</v>
      </c>
      <c r="T10" s="28">
        <f t="shared" si="1"/>
        <v>0.80424704000000014</v>
      </c>
      <c r="U10" s="28">
        <f t="shared" si="1"/>
        <v>0.80424704000000014</v>
      </c>
      <c r="V10" s="28">
        <f t="shared" si="1"/>
        <v>0.80424704000000014</v>
      </c>
      <c r="W10" s="28">
        <f t="shared" si="1"/>
        <v>0.80424704000000014</v>
      </c>
      <c r="X10" s="28">
        <f t="shared" si="1"/>
        <v>0.80424704000000014</v>
      </c>
      <c r="Y10" s="28">
        <f t="shared" si="1"/>
        <v>0.80424704000000014</v>
      </c>
      <c r="Z10" s="28">
        <f t="shared" si="1"/>
        <v>0.80424704000000014</v>
      </c>
      <c r="AA10" s="74">
        <f t="shared" si="1"/>
        <v>0.80424704000000014</v>
      </c>
      <c r="AB10" s="127">
        <f t="shared" ref="AB10:AB19" si="2">SUM(I10:AA10)</f>
        <v>15.28069376</v>
      </c>
      <c r="AC10" s="116">
        <f t="shared" si="0"/>
        <v>0.80424704000000002</v>
      </c>
      <c r="AD10" s="109" t="s">
        <v>35</v>
      </c>
    </row>
    <row r="11" spans="1:30" x14ac:dyDescent="0.4">
      <c r="A11" s="173"/>
      <c r="B11" s="175"/>
      <c r="C11" s="35" t="s">
        <v>64</v>
      </c>
      <c r="D11" s="39" t="s">
        <v>114</v>
      </c>
      <c r="E11" s="179" t="s">
        <v>36</v>
      </c>
      <c r="F11" s="102" t="s">
        <v>37</v>
      </c>
      <c r="G11" s="59">
        <f>(3.14159*(3.38^2-3^2))/4</f>
        <v>1.9041176989999988</v>
      </c>
      <c r="H11" s="18" t="s">
        <v>38</v>
      </c>
      <c r="I11" s="75">
        <f>ROUNDUP($G$11*I6,2)</f>
        <v>9.34</v>
      </c>
      <c r="J11" s="19">
        <f t="shared" ref="J11:AA11" si="3">ROUNDUP($G$11*J6,2)</f>
        <v>9.34</v>
      </c>
      <c r="K11" s="19">
        <f>ROUNDUP($G$11*K6,2)</f>
        <v>9.34</v>
      </c>
      <c r="L11" s="19">
        <f t="shared" si="3"/>
        <v>9.34</v>
      </c>
      <c r="M11" s="19">
        <f t="shared" si="3"/>
        <v>9.34</v>
      </c>
      <c r="N11" s="19">
        <f t="shared" si="3"/>
        <v>9.34</v>
      </c>
      <c r="O11" s="19">
        <f t="shared" si="3"/>
        <v>13.709999999999999</v>
      </c>
      <c r="P11" s="19">
        <f t="shared" si="3"/>
        <v>9.34</v>
      </c>
      <c r="Q11" s="19">
        <f t="shared" si="3"/>
        <v>14.67</v>
      </c>
      <c r="R11" s="19">
        <f t="shared" si="3"/>
        <v>14.29</v>
      </c>
      <c r="S11" s="19">
        <f t="shared" si="3"/>
        <v>13.52</v>
      </c>
      <c r="T11" s="19">
        <f t="shared" si="3"/>
        <v>14.86</v>
      </c>
      <c r="U11" s="19">
        <f t="shared" si="3"/>
        <v>9.34</v>
      </c>
      <c r="V11" s="19">
        <f t="shared" si="3"/>
        <v>9.34</v>
      </c>
      <c r="W11" s="19">
        <f t="shared" si="3"/>
        <v>9.34</v>
      </c>
      <c r="X11" s="19">
        <f t="shared" si="3"/>
        <v>9.34</v>
      </c>
      <c r="Y11" s="19">
        <f t="shared" si="3"/>
        <v>9.34</v>
      </c>
      <c r="Z11" s="19">
        <f t="shared" si="3"/>
        <v>10.86</v>
      </c>
      <c r="AA11" s="76">
        <f t="shared" si="3"/>
        <v>13.33</v>
      </c>
      <c r="AB11" s="128">
        <f t="shared" si="2"/>
        <v>207.32000000000002</v>
      </c>
      <c r="AC11" s="117">
        <f t="shared" si="0"/>
        <v>10.911578947368422</v>
      </c>
      <c r="AD11" s="110" t="s">
        <v>35</v>
      </c>
    </row>
    <row r="12" spans="1:30" x14ac:dyDescent="0.4">
      <c r="A12" s="173"/>
      <c r="B12" s="175"/>
      <c r="C12" s="35" t="s">
        <v>65</v>
      </c>
      <c r="D12" s="40" t="s">
        <v>115</v>
      </c>
      <c r="E12" s="179"/>
      <c r="F12" s="102" t="s">
        <v>39</v>
      </c>
      <c r="G12" s="59">
        <f>(3.14159*(3.2^2-3^2))/4</f>
        <v>0.9738929000000015</v>
      </c>
      <c r="H12" s="18" t="s">
        <v>40</v>
      </c>
      <c r="I12" s="75">
        <f>(I5-I6-I7)*$G$12</f>
        <v>7.498975330000011</v>
      </c>
      <c r="J12" s="19">
        <f t="shared" ref="J12:AA12" si="4">(J5-J6-J7)*$G$12</f>
        <v>5.7459681100000095</v>
      </c>
      <c r="K12" s="19">
        <f>(K5-K6-K7)*$G$12</f>
        <v>7.498975330000011</v>
      </c>
      <c r="L12" s="19">
        <f>(L5-L6-L7)*$G$12</f>
        <v>7.0120288800000106</v>
      </c>
      <c r="M12" s="19">
        <f>(M5-M6-M7)*$G$12</f>
        <v>7.3041967500000116</v>
      </c>
      <c r="N12" s="19">
        <f t="shared" si="4"/>
        <v>5.1616323700000084</v>
      </c>
      <c r="O12" s="19">
        <f t="shared" si="4"/>
        <v>7.4989753300000119</v>
      </c>
      <c r="P12" s="19">
        <f t="shared" si="4"/>
        <v>7.791143200000012</v>
      </c>
      <c r="Q12" s="19">
        <f t="shared" si="4"/>
        <v>10.712821900000018</v>
      </c>
      <c r="R12" s="19">
        <f t="shared" si="4"/>
        <v>10.615432610000017</v>
      </c>
      <c r="S12" s="19">
        <f t="shared" si="4"/>
        <v>13.82927918000002</v>
      </c>
      <c r="T12" s="19">
        <f t="shared" si="4"/>
        <v>8.8624253900000127</v>
      </c>
      <c r="U12" s="19">
        <f t="shared" si="4"/>
        <v>6.3303038500000097</v>
      </c>
      <c r="V12" s="19">
        <f t="shared" si="4"/>
        <v>6.0381359800000087</v>
      </c>
      <c r="W12" s="19">
        <f t="shared" si="4"/>
        <v>5.5511895300000083</v>
      </c>
      <c r="X12" s="19">
        <f t="shared" si="4"/>
        <v>6.23291456000001</v>
      </c>
      <c r="Y12" s="19">
        <f t="shared" si="4"/>
        <v>5.7459681100000095</v>
      </c>
      <c r="Z12" s="19">
        <f t="shared" si="4"/>
        <v>11.88149338000002</v>
      </c>
      <c r="AA12" s="76">
        <f t="shared" si="4"/>
        <v>6.7198610100000105</v>
      </c>
      <c r="AB12" s="128">
        <f t="shared" si="2"/>
        <v>148.03172080000024</v>
      </c>
      <c r="AC12" s="117">
        <f t="shared" si="0"/>
        <v>7.7911432000000129</v>
      </c>
      <c r="AD12" s="110" t="s">
        <v>35</v>
      </c>
    </row>
    <row r="13" spans="1:30" ht="25.2" x14ac:dyDescent="0.4">
      <c r="A13" s="173"/>
      <c r="B13" s="175"/>
      <c r="C13" s="35" t="s">
        <v>66</v>
      </c>
      <c r="D13" s="40" t="s">
        <v>78</v>
      </c>
      <c r="E13" s="179" t="s">
        <v>20</v>
      </c>
      <c r="F13" s="180"/>
      <c r="G13" s="20" t="s">
        <v>26</v>
      </c>
      <c r="H13" s="18" t="s">
        <v>38</v>
      </c>
      <c r="I13" s="75">
        <f>SUM(I10:I12)</f>
        <v>17.643222370000011</v>
      </c>
      <c r="J13" s="19">
        <f t="shared" ref="J13:AA13" si="5">SUM(J10:J12)</f>
        <v>15.89021515000001</v>
      </c>
      <c r="K13" s="19">
        <f t="shared" si="5"/>
        <v>17.643222370000011</v>
      </c>
      <c r="L13" s="19">
        <f>SUM(L10:L12)</f>
        <v>17.156275920000009</v>
      </c>
      <c r="M13" s="19">
        <f t="shared" si="5"/>
        <v>17.448443790000013</v>
      </c>
      <c r="N13" s="19">
        <f t="shared" si="5"/>
        <v>15.305879410000008</v>
      </c>
      <c r="O13" s="19">
        <f t="shared" si="5"/>
        <v>22.013222370000012</v>
      </c>
      <c r="P13" s="19">
        <f t="shared" si="5"/>
        <v>17.935390240000011</v>
      </c>
      <c r="Q13" s="19">
        <f t="shared" si="5"/>
        <v>26.187068940000017</v>
      </c>
      <c r="R13" s="19">
        <f t="shared" si="5"/>
        <v>25.709679650000016</v>
      </c>
      <c r="S13" s="19">
        <f t="shared" si="5"/>
        <v>28.153526220000018</v>
      </c>
      <c r="T13" s="19">
        <f t="shared" si="5"/>
        <v>24.526672430000012</v>
      </c>
      <c r="U13" s="19">
        <f t="shared" si="5"/>
        <v>16.47455089000001</v>
      </c>
      <c r="V13" s="19">
        <f t="shared" si="5"/>
        <v>16.18238302000001</v>
      </c>
      <c r="W13" s="19">
        <f t="shared" si="5"/>
        <v>15.695436570000009</v>
      </c>
      <c r="X13" s="19">
        <f t="shared" si="5"/>
        <v>16.377161600000008</v>
      </c>
      <c r="Y13" s="19">
        <f t="shared" si="5"/>
        <v>15.89021515000001</v>
      </c>
      <c r="Z13" s="19">
        <f t="shared" si="5"/>
        <v>23.545740420000019</v>
      </c>
      <c r="AA13" s="76">
        <f t="shared" si="5"/>
        <v>20.854108050000011</v>
      </c>
      <c r="AB13" s="128">
        <f t="shared" si="2"/>
        <v>370.63241456000031</v>
      </c>
      <c r="AC13" s="117">
        <f t="shared" si="0"/>
        <v>19.506969187368437</v>
      </c>
      <c r="AD13" s="110" t="s">
        <v>35</v>
      </c>
    </row>
    <row r="14" spans="1:30" x14ac:dyDescent="0.4">
      <c r="A14" s="173"/>
      <c r="B14" s="176"/>
      <c r="C14" s="36" t="s">
        <v>67</v>
      </c>
      <c r="D14" s="41" t="s">
        <v>89</v>
      </c>
      <c r="E14" s="181" t="s">
        <v>41</v>
      </c>
      <c r="F14" s="182"/>
      <c r="G14" s="22">
        <v>4</v>
      </c>
      <c r="H14" s="21" t="s">
        <v>42</v>
      </c>
      <c r="I14" s="77">
        <f>ROUNDUP($G$14*I13,2)</f>
        <v>70.58</v>
      </c>
      <c r="J14" s="23">
        <f t="shared" ref="J14:AA14" si="6">ROUNDUP($G$14*J13,2)</f>
        <v>63.57</v>
      </c>
      <c r="K14" s="23">
        <f t="shared" si="6"/>
        <v>70.58</v>
      </c>
      <c r="L14" s="23">
        <f>ROUNDUP($G$14*L13,2)</f>
        <v>68.63000000000001</v>
      </c>
      <c r="M14" s="23">
        <f t="shared" si="6"/>
        <v>69.800000000000011</v>
      </c>
      <c r="N14" s="23">
        <f t="shared" si="6"/>
        <v>61.23</v>
      </c>
      <c r="O14" s="23">
        <f t="shared" si="6"/>
        <v>88.06</v>
      </c>
      <c r="P14" s="23">
        <f t="shared" si="6"/>
        <v>71.75</v>
      </c>
      <c r="Q14" s="23">
        <f t="shared" si="6"/>
        <v>104.75</v>
      </c>
      <c r="R14" s="23">
        <f t="shared" si="6"/>
        <v>102.84</v>
      </c>
      <c r="S14" s="23">
        <f t="shared" si="6"/>
        <v>112.62</v>
      </c>
      <c r="T14" s="23">
        <f t="shared" si="6"/>
        <v>98.11</v>
      </c>
      <c r="U14" s="23">
        <f t="shared" si="6"/>
        <v>65.900000000000006</v>
      </c>
      <c r="V14" s="23">
        <f t="shared" si="6"/>
        <v>64.73</v>
      </c>
      <c r="W14" s="23">
        <f t="shared" si="6"/>
        <v>62.79</v>
      </c>
      <c r="X14" s="23">
        <f t="shared" si="6"/>
        <v>65.510000000000005</v>
      </c>
      <c r="Y14" s="23">
        <f t="shared" si="6"/>
        <v>63.57</v>
      </c>
      <c r="Z14" s="23">
        <f t="shared" si="6"/>
        <v>94.190000000000012</v>
      </c>
      <c r="AA14" s="78">
        <f t="shared" si="6"/>
        <v>83.42</v>
      </c>
      <c r="AB14" s="129">
        <f>SUM(I14:AA14)</f>
        <v>1482.63</v>
      </c>
      <c r="AC14" s="118">
        <f t="shared" si="0"/>
        <v>78.033157894736846</v>
      </c>
      <c r="AD14" s="111" t="s">
        <v>35</v>
      </c>
    </row>
    <row r="15" spans="1:30" x14ac:dyDescent="0.4">
      <c r="A15" s="165" t="s">
        <v>44</v>
      </c>
      <c r="B15" s="166" t="s">
        <v>92</v>
      </c>
      <c r="C15" s="38" t="s">
        <v>68</v>
      </c>
      <c r="D15" s="42" t="s">
        <v>88</v>
      </c>
      <c r="E15" s="163" t="s">
        <v>45</v>
      </c>
      <c r="F15" s="164"/>
      <c r="G15" s="4">
        <v>8.9999999999999993E-3</v>
      </c>
      <c r="H15" s="5" t="s">
        <v>116</v>
      </c>
      <c r="I15" s="70">
        <f>ROUNDUP($G$15*I5,2)</f>
        <v>0.12</v>
      </c>
      <c r="J15" s="8">
        <f t="shared" ref="J15:AA15" si="7">ROUNDUP($G$15*J5,2)</f>
        <v>9.9999999999999992E-2</v>
      </c>
      <c r="K15" s="8">
        <f t="shared" si="7"/>
        <v>0.12</v>
      </c>
      <c r="L15" s="8">
        <f t="shared" si="7"/>
        <v>0.11</v>
      </c>
      <c r="M15" s="8">
        <f>ROUNDUP($G$15*M5,2)</f>
        <v>0.12</v>
      </c>
      <c r="N15" s="8">
        <f t="shared" si="7"/>
        <v>9.9999999999999992E-2</v>
      </c>
      <c r="O15" s="8">
        <f t="shared" si="7"/>
        <v>0.14000000000000001</v>
      </c>
      <c r="P15" s="8">
        <f t="shared" si="7"/>
        <v>0.12</v>
      </c>
      <c r="Q15" s="8">
        <f t="shared" si="7"/>
        <v>0.17</v>
      </c>
      <c r="R15" s="8">
        <f t="shared" si="7"/>
        <v>0.17</v>
      </c>
      <c r="S15" s="8">
        <f t="shared" si="7"/>
        <v>0.2</v>
      </c>
      <c r="T15" s="8">
        <f t="shared" si="7"/>
        <v>0.16</v>
      </c>
      <c r="U15" s="8">
        <f t="shared" si="7"/>
        <v>0.11</v>
      </c>
      <c r="V15" s="8">
        <f t="shared" si="7"/>
        <v>0.11</v>
      </c>
      <c r="W15" s="8">
        <f t="shared" si="7"/>
        <v>9.9999999999999992E-2</v>
      </c>
      <c r="X15" s="8">
        <f t="shared" si="7"/>
        <v>0.11</v>
      </c>
      <c r="Y15" s="8">
        <f t="shared" si="7"/>
        <v>9.9999999999999992E-2</v>
      </c>
      <c r="Z15" s="8">
        <f t="shared" si="7"/>
        <v>0.17</v>
      </c>
      <c r="AA15" s="67">
        <f t="shared" si="7"/>
        <v>0.13</v>
      </c>
      <c r="AB15" s="124">
        <f t="shared" si="2"/>
        <v>2.46</v>
      </c>
      <c r="AC15" s="113">
        <f t="shared" si="0"/>
        <v>0.12947368421052632</v>
      </c>
      <c r="AD15" s="47" t="s">
        <v>46</v>
      </c>
    </row>
    <row r="16" spans="1:30" x14ac:dyDescent="0.4">
      <c r="A16" s="165"/>
      <c r="B16" s="167"/>
      <c r="C16" s="32" t="s">
        <v>69</v>
      </c>
      <c r="D16" s="43" t="s">
        <v>87</v>
      </c>
      <c r="E16" s="134" t="s">
        <v>47</v>
      </c>
      <c r="F16" s="135"/>
      <c r="G16" s="10">
        <v>8.9999999999999993E-3</v>
      </c>
      <c r="H16" s="11" t="s">
        <v>116</v>
      </c>
      <c r="I16" s="71">
        <f>ROUNDUP($G$16*(I8+I9),2)</f>
        <v>1.35</v>
      </c>
      <c r="J16" s="14">
        <f t="shared" ref="J16:AA16" si="8">ROUNDUP($G$16*(J8+J9),2)</f>
        <v>1.35</v>
      </c>
      <c r="K16" s="14">
        <f t="shared" si="8"/>
        <v>1.35</v>
      </c>
      <c r="L16" s="14">
        <f t="shared" si="8"/>
        <v>1.35</v>
      </c>
      <c r="M16" s="14">
        <f>ROUNDUP($G$16*(M8+M9),2)</f>
        <v>1.35</v>
      </c>
      <c r="N16" s="14">
        <f t="shared" si="8"/>
        <v>1.35</v>
      </c>
      <c r="O16" s="14">
        <f t="shared" si="8"/>
        <v>1.35</v>
      </c>
      <c r="P16" s="14">
        <f t="shared" si="8"/>
        <v>1.35</v>
      </c>
      <c r="Q16" s="14">
        <f t="shared" si="8"/>
        <v>1.35</v>
      </c>
      <c r="R16" s="14">
        <f t="shared" si="8"/>
        <v>1.35</v>
      </c>
      <c r="S16" s="14">
        <f t="shared" si="8"/>
        <v>1.35</v>
      </c>
      <c r="T16" s="14">
        <f t="shared" si="8"/>
        <v>1.35</v>
      </c>
      <c r="U16" s="14">
        <f t="shared" si="8"/>
        <v>1.35</v>
      </c>
      <c r="V16" s="14">
        <f t="shared" si="8"/>
        <v>1.35</v>
      </c>
      <c r="W16" s="14">
        <f t="shared" si="8"/>
        <v>1.35</v>
      </c>
      <c r="X16" s="14">
        <f t="shared" si="8"/>
        <v>1.35</v>
      </c>
      <c r="Y16" s="14">
        <f t="shared" si="8"/>
        <v>1.35</v>
      </c>
      <c r="Z16" s="14">
        <f t="shared" si="8"/>
        <v>1.35</v>
      </c>
      <c r="AA16" s="68">
        <f t="shared" si="8"/>
        <v>1.35</v>
      </c>
      <c r="AB16" s="125">
        <f t="shared" si="2"/>
        <v>25.650000000000009</v>
      </c>
      <c r="AC16" s="114">
        <f t="shared" si="0"/>
        <v>1.3500000000000005</v>
      </c>
      <c r="AD16" s="101" t="s">
        <v>46</v>
      </c>
    </row>
    <row r="17" spans="1:30" s="92" customFormat="1" ht="19.2" x14ac:dyDescent="0.4">
      <c r="A17" s="165"/>
      <c r="B17" s="168"/>
      <c r="C17" s="85" t="s">
        <v>70</v>
      </c>
      <c r="D17" s="86" t="s">
        <v>79</v>
      </c>
      <c r="E17" s="169" t="s">
        <v>86</v>
      </c>
      <c r="F17" s="170"/>
      <c r="G17" s="88" t="s">
        <v>26</v>
      </c>
      <c r="H17" s="87" t="s">
        <v>38</v>
      </c>
      <c r="I17" s="89">
        <f>SUM(I15:I16)</f>
        <v>1.4700000000000002</v>
      </c>
      <c r="J17" s="90">
        <f>SUM(J15:J16)</f>
        <v>1.4500000000000002</v>
      </c>
      <c r="K17" s="90">
        <f t="shared" ref="K17:AA17" si="9">SUM(K15:K16)</f>
        <v>1.4700000000000002</v>
      </c>
      <c r="L17" s="90">
        <f t="shared" si="9"/>
        <v>1.4600000000000002</v>
      </c>
      <c r="M17" s="90">
        <f>SUM(M15:M16)</f>
        <v>1.4700000000000002</v>
      </c>
      <c r="N17" s="90">
        <f t="shared" si="9"/>
        <v>1.4500000000000002</v>
      </c>
      <c r="O17" s="90">
        <f t="shared" si="9"/>
        <v>1.4900000000000002</v>
      </c>
      <c r="P17" s="90">
        <f t="shared" si="9"/>
        <v>1.4700000000000002</v>
      </c>
      <c r="Q17" s="90">
        <f t="shared" si="9"/>
        <v>1.52</v>
      </c>
      <c r="R17" s="90">
        <f t="shared" si="9"/>
        <v>1.52</v>
      </c>
      <c r="S17" s="90">
        <f t="shared" si="9"/>
        <v>1.55</v>
      </c>
      <c r="T17" s="90">
        <f t="shared" si="9"/>
        <v>1.51</v>
      </c>
      <c r="U17" s="90">
        <f t="shared" si="9"/>
        <v>1.4600000000000002</v>
      </c>
      <c r="V17" s="90">
        <f t="shared" si="9"/>
        <v>1.4600000000000002</v>
      </c>
      <c r="W17" s="90">
        <f t="shared" si="9"/>
        <v>1.4500000000000002</v>
      </c>
      <c r="X17" s="90">
        <f t="shared" si="9"/>
        <v>1.4600000000000002</v>
      </c>
      <c r="Y17" s="90">
        <f t="shared" si="9"/>
        <v>1.4500000000000002</v>
      </c>
      <c r="Z17" s="90">
        <f t="shared" si="9"/>
        <v>1.52</v>
      </c>
      <c r="AA17" s="91">
        <f t="shared" si="9"/>
        <v>1.48</v>
      </c>
      <c r="AB17" s="130">
        <f t="shared" si="2"/>
        <v>28.110000000000003</v>
      </c>
      <c r="AC17" s="119">
        <f t="shared" si="0"/>
        <v>1.4794736842105265</v>
      </c>
      <c r="AD17" s="112"/>
    </row>
    <row r="18" spans="1:30" x14ac:dyDescent="0.4">
      <c r="A18" s="165"/>
      <c r="B18" s="166" t="s">
        <v>48</v>
      </c>
      <c r="C18" s="38" t="s">
        <v>71</v>
      </c>
      <c r="D18" s="46" t="s">
        <v>26</v>
      </c>
      <c r="E18" s="163" t="s">
        <v>49</v>
      </c>
      <c r="F18" s="164"/>
      <c r="G18" s="6">
        <v>2</v>
      </c>
      <c r="H18" s="5" t="s">
        <v>50</v>
      </c>
      <c r="I18" s="70">
        <v>2</v>
      </c>
      <c r="J18" s="8">
        <v>2</v>
      </c>
      <c r="K18" s="8">
        <v>2</v>
      </c>
      <c r="L18" s="8">
        <v>2</v>
      </c>
      <c r="M18" s="8">
        <v>2</v>
      </c>
      <c r="N18" s="8">
        <v>2</v>
      </c>
      <c r="O18" s="8">
        <v>2</v>
      </c>
      <c r="P18" s="8">
        <v>2</v>
      </c>
      <c r="Q18" s="8">
        <v>2</v>
      </c>
      <c r="R18" s="8">
        <v>2</v>
      </c>
      <c r="S18" s="8">
        <v>2</v>
      </c>
      <c r="T18" s="8">
        <v>2</v>
      </c>
      <c r="U18" s="8">
        <v>2</v>
      </c>
      <c r="V18" s="8">
        <v>2</v>
      </c>
      <c r="W18" s="8">
        <v>2</v>
      </c>
      <c r="X18" s="8">
        <v>2</v>
      </c>
      <c r="Y18" s="8">
        <v>2</v>
      </c>
      <c r="Z18" s="8">
        <v>2</v>
      </c>
      <c r="AA18" s="67">
        <v>2</v>
      </c>
      <c r="AB18" s="124">
        <f t="shared" si="2"/>
        <v>38</v>
      </c>
      <c r="AC18" s="113">
        <f t="shared" si="0"/>
        <v>2</v>
      </c>
      <c r="AD18" s="47"/>
    </row>
    <row r="19" spans="1:30" x14ac:dyDescent="0.4">
      <c r="A19" s="165"/>
      <c r="B19" s="171"/>
      <c r="C19" s="65" t="s">
        <v>72</v>
      </c>
      <c r="D19" s="61" t="s">
        <v>26</v>
      </c>
      <c r="E19" s="136" t="s">
        <v>51</v>
      </c>
      <c r="F19" s="137"/>
      <c r="G19" s="62">
        <v>2</v>
      </c>
      <c r="H19" s="63" t="s">
        <v>50</v>
      </c>
      <c r="I19" s="79">
        <v>2</v>
      </c>
      <c r="J19" s="64">
        <v>2</v>
      </c>
      <c r="K19" s="64">
        <v>2</v>
      </c>
      <c r="L19" s="64">
        <v>2</v>
      </c>
      <c r="M19" s="64">
        <v>2</v>
      </c>
      <c r="N19" s="64">
        <v>2</v>
      </c>
      <c r="O19" s="64">
        <v>2</v>
      </c>
      <c r="P19" s="64">
        <v>2</v>
      </c>
      <c r="Q19" s="64">
        <v>2</v>
      </c>
      <c r="R19" s="64">
        <v>2</v>
      </c>
      <c r="S19" s="64">
        <v>2</v>
      </c>
      <c r="T19" s="64">
        <v>2</v>
      </c>
      <c r="U19" s="64">
        <v>2</v>
      </c>
      <c r="V19" s="64">
        <v>2</v>
      </c>
      <c r="W19" s="64">
        <v>2</v>
      </c>
      <c r="X19" s="64">
        <v>2</v>
      </c>
      <c r="Y19" s="64">
        <v>2</v>
      </c>
      <c r="Z19" s="64">
        <v>2</v>
      </c>
      <c r="AA19" s="80">
        <v>2</v>
      </c>
      <c r="AB19" s="131">
        <f t="shared" si="2"/>
        <v>38</v>
      </c>
      <c r="AC19" s="120">
        <f t="shared" si="0"/>
        <v>2</v>
      </c>
      <c r="AD19" s="48"/>
    </row>
    <row r="20" spans="1:30" ht="17.399999999999999" customHeight="1" x14ac:dyDescent="0.4">
      <c r="A20" s="150"/>
      <c r="B20" s="140" t="s">
        <v>91</v>
      </c>
      <c r="C20" s="93" t="s">
        <v>80</v>
      </c>
      <c r="D20" s="44"/>
      <c r="E20" s="163" t="s">
        <v>105</v>
      </c>
      <c r="F20" s="164"/>
      <c r="G20" s="6" t="s">
        <v>26</v>
      </c>
      <c r="H20" s="5" t="s">
        <v>38</v>
      </c>
      <c r="I20" s="70">
        <f t="shared" ref="I20:AA20" si="10">I17+I10</f>
        <v>2.2742470400000006</v>
      </c>
      <c r="J20" s="8">
        <f t="shared" si="10"/>
        <v>2.2542470400000001</v>
      </c>
      <c r="K20" s="8">
        <f t="shared" si="10"/>
        <v>2.2742470400000006</v>
      </c>
      <c r="L20" s="8">
        <f t="shared" si="10"/>
        <v>2.2642470400000003</v>
      </c>
      <c r="M20" s="8">
        <f t="shared" si="10"/>
        <v>2.2742470400000006</v>
      </c>
      <c r="N20" s="8">
        <f t="shared" si="10"/>
        <v>2.2542470400000001</v>
      </c>
      <c r="O20" s="8">
        <f t="shared" si="10"/>
        <v>2.2942470400000001</v>
      </c>
      <c r="P20" s="8">
        <f t="shared" si="10"/>
        <v>2.2742470400000006</v>
      </c>
      <c r="Q20" s="8">
        <f t="shared" si="10"/>
        <v>2.3242470400000004</v>
      </c>
      <c r="R20" s="8">
        <f t="shared" si="10"/>
        <v>2.3242470400000004</v>
      </c>
      <c r="S20" s="8">
        <f t="shared" si="10"/>
        <v>2.3542470400000002</v>
      </c>
      <c r="T20" s="8">
        <f t="shared" si="10"/>
        <v>2.3142470400000001</v>
      </c>
      <c r="U20" s="8">
        <f t="shared" si="10"/>
        <v>2.2642470400000003</v>
      </c>
      <c r="V20" s="8">
        <f t="shared" si="10"/>
        <v>2.2642470400000003</v>
      </c>
      <c r="W20" s="8">
        <f t="shared" si="10"/>
        <v>2.2542470400000001</v>
      </c>
      <c r="X20" s="8">
        <f t="shared" si="10"/>
        <v>2.2642470400000003</v>
      </c>
      <c r="Y20" s="8">
        <f t="shared" si="10"/>
        <v>2.2542470400000001</v>
      </c>
      <c r="Z20" s="8">
        <f t="shared" si="10"/>
        <v>2.3242470400000004</v>
      </c>
      <c r="AA20" s="67">
        <f t="shared" si="10"/>
        <v>2.2842470400000003</v>
      </c>
      <c r="AB20" s="124">
        <f t="shared" ref="AB20:AB23" si="11">SUM(I20:AA20)</f>
        <v>43.390693760000019</v>
      </c>
      <c r="AC20" s="113">
        <f t="shared" ref="AC20:AC24" si="12">AVERAGE(I20:AA20)</f>
        <v>2.2837207242105273</v>
      </c>
      <c r="AD20" s="66"/>
    </row>
    <row r="21" spans="1:30" s="84" customFormat="1" ht="17.399999999999999" customHeight="1" x14ac:dyDescent="0.4">
      <c r="A21" s="150"/>
      <c r="B21" s="141"/>
      <c r="C21" s="94" t="s">
        <v>81</v>
      </c>
      <c r="D21" s="199" t="s">
        <v>123</v>
      </c>
      <c r="E21" s="138" t="s">
        <v>82</v>
      </c>
      <c r="F21" s="139"/>
      <c r="G21" s="104">
        <f>1.0752*4</f>
        <v>4.3007999999999997</v>
      </c>
      <c r="H21" s="105" t="s">
        <v>50</v>
      </c>
      <c r="I21" s="197">
        <v>4</v>
      </c>
      <c r="J21" s="81">
        <f>I21</f>
        <v>4</v>
      </c>
      <c r="K21" s="81">
        <v>4</v>
      </c>
      <c r="L21" s="81">
        <v>4</v>
      </c>
      <c r="M21" s="81">
        <v>4</v>
      </c>
      <c r="N21" s="81">
        <v>4</v>
      </c>
      <c r="O21" s="81">
        <v>4</v>
      </c>
      <c r="P21" s="81">
        <v>4</v>
      </c>
      <c r="Q21" s="81">
        <v>4</v>
      </c>
      <c r="R21" s="81">
        <v>4</v>
      </c>
      <c r="S21" s="81">
        <v>4</v>
      </c>
      <c r="T21" s="81">
        <v>4</v>
      </c>
      <c r="U21" s="81">
        <v>4</v>
      </c>
      <c r="V21" s="81">
        <v>4</v>
      </c>
      <c r="W21" s="81">
        <v>4</v>
      </c>
      <c r="X21" s="81">
        <v>4</v>
      </c>
      <c r="Y21" s="81">
        <v>4</v>
      </c>
      <c r="Z21" s="81">
        <v>4</v>
      </c>
      <c r="AA21" s="198">
        <v>4</v>
      </c>
      <c r="AB21" s="132">
        <f t="shared" si="11"/>
        <v>76</v>
      </c>
      <c r="AC21" s="121">
        <f t="shared" si="12"/>
        <v>4</v>
      </c>
      <c r="AD21" s="83"/>
    </row>
    <row r="22" spans="1:30" ht="17.399999999999999" customHeight="1" x14ac:dyDescent="0.4">
      <c r="A22" s="150"/>
      <c r="B22" s="141"/>
      <c r="C22" s="95" t="s">
        <v>101</v>
      </c>
      <c r="D22" s="69"/>
      <c r="E22" s="134" t="s">
        <v>106</v>
      </c>
      <c r="F22" s="135"/>
      <c r="G22" s="12" t="s">
        <v>26</v>
      </c>
      <c r="H22" s="11" t="s">
        <v>38</v>
      </c>
      <c r="I22" s="71">
        <f>I21-I20</f>
        <v>1.7257529599999994</v>
      </c>
      <c r="J22" s="14">
        <f>J21-J20</f>
        <v>1.7457529599999999</v>
      </c>
      <c r="K22" s="14">
        <f t="shared" ref="K22:AA22" si="13">K21-K20</f>
        <v>1.7257529599999994</v>
      </c>
      <c r="L22" s="14">
        <f t="shared" si="13"/>
        <v>1.7357529599999997</v>
      </c>
      <c r="M22" s="14">
        <f t="shared" si="13"/>
        <v>1.7257529599999994</v>
      </c>
      <c r="N22" s="14">
        <f t="shared" si="13"/>
        <v>1.7457529599999999</v>
      </c>
      <c r="O22" s="14">
        <f t="shared" si="13"/>
        <v>1.7057529599999999</v>
      </c>
      <c r="P22" s="14">
        <f t="shared" si="13"/>
        <v>1.7257529599999994</v>
      </c>
      <c r="Q22" s="14">
        <f t="shared" si="13"/>
        <v>1.6757529599999996</v>
      </c>
      <c r="R22" s="14">
        <f t="shared" si="13"/>
        <v>1.6757529599999996</v>
      </c>
      <c r="S22" s="14">
        <f t="shared" si="13"/>
        <v>1.6457529599999998</v>
      </c>
      <c r="T22" s="14">
        <f t="shared" si="13"/>
        <v>1.6857529599999999</v>
      </c>
      <c r="U22" s="14">
        <f t="shared" si="13"/>
        <v>1.7357529599999997</v>
      </c>
      <c r="V22" s="14">
        <f t="shared" si="13"/>
        <v>1.7357529599999997</v>
      </c>
      <c r="W22" s="14">
        <f t="shared" si="13"/>
        <v>1.7457529599999999</v>
      </c>
      <c r="X22" s="14">
        <f t="shared" si="13"/>
        <v>1.7357529599999997</v>
      </c>
      <c r="Y22" s="14">
        <f t="shared" si="13"/>
        <v>1.7457529599999999</v>
      </c>
      <c r="Z22" s="14">
        <f t="shared" si="13"/>
        <v>1.6757529599999996</v>
      </c>
      <c r="AA22" s="68">
        <f t="shared" si="13"/>
        <v>1.7157529599999997</v>
      </c>
      <c r="AB22" s="125">
        <f t="shared" si="11"/>
        <v>32.609306239999995</v>
      </c>
      <c r="AC22" s="114">
        <f t="shared" si="12"/>
        <v>1.7162792757894734</v>
      </c>
      <c r="AD22" s="66"/>
    </row>
    <row r="23" spans="1:30" ht="17.399999999999999" customHeight="1" x14ac:dyDescent="0.4">
      <c r="A23" s="150"/>
      <c r="B23" s="141"/>
      <c r="C23" s="94" t="s">
        <v>73</v>
      </c>
      <c r="D23" s="69"/>
      <c r="E23" s="134" t="s">
        <v>107</v>
      </c>
      <c r="F23" s="135"/>
      <c r="G23" s="106">
        <f>(3.14159*(3.2^2)/4)*0.1</f>
        <v>0.80424704000000014</v>
      </c>
      <c r="H23" s="11" t="s">
        <v>34</v>
      </c>
      <c r="I23" s="71">
        <f>I22/$G$23*0.1</f>
        <v>0.21457995791939741</v>
      </c>
      <c r="J23" s="14">
        <f t="shared" ref="J23:AA23" si="14">J22/$G$23*0.1</f>
        <v>0.21706675600571682</v>
      </c>
      <c r="K23" s="14">
        <f t="shared" si="14"/>
        <v>0.21457995791939741</v>
      </c>
      <c r="L23" s="14">
        <f t="shared" si="14"/>
        <v>0.21582335696255708</v>
      </c>
      <c r="M23" s="14">
        <f t="shared" si="14"/>
        <v>0.21457995791939741</v>
      </c>
      <c r="N23" s="14">
        <f t="shared" si="14"/>
        <v>0.21706675600571682</v>
      </c>
      <c r="O23" s="14">
        <f t="shared" si="14"/>
        <v>0.21209315983307811</v>
      </c>
      <c r="P23" s="14">
        <f t="shared" si="14"/>
        <v>0.21457995791939741</v>
      </c>
      <c r="Q23" s="14">
        <f t="shared" si="14"/>
        <v>0.20836296270359905</v>
      </c>
      <c r="R23" s="14">
        <f t="shared" si="14"/>
        <v>0.20836296270359905</v>
      </c>
      <c r="S23" s="14">
        <f t="shared" si="14"/>
        <v>0.20463276557412008</v>
      </c>
      <c r="T23" s="14">
        <f t="shared" si="14"/>
        <v>0.20960636174675878</v>
      </c>
      <c r="U23" s="14">
        <f t="shared" si="14"/>
        <v>0.21582335696255708</v>
      </c>
      <c r="V23" s="14">
        <f t="shared" si="14"/>
        <v>0.21582335696255708</v>
      </c>
      <c r="W23" s="14">
        <f t="shared" si="14"/>
        <v>0.21706675600571682</v>
      </c>
      <c r="X23" s="14">
        <f t="shared" si="14"/>
        <v>0.21582335696255708</v>
      </c>
      <c r="Y23" s="14">
        <f t="shared" si="14"/>
        <v>0.21706675600571682</v>
      </c>
      <c r="Z23" s="14">
        <f t="shared" si="14"/>
        <v>0.20836296270359905</v>
      </c>
      <c r="AA23" s="68">
        <f t="shared" si="14"/>
        <v>0.21333655887623776</v>
      </c>
      <c r="AB23" s="125">
        <f t="shared" si="11"/>
        <v>4.0546380176916781</v>
      </c>
      <c r="AC23" s="114">
        <f t="shared" si="12"/>
        <v>0.21340200093114095</v>
      </c>
      <c r="AD23" s="66"/>
    </row>
    <row r="24" spans="1:30" ht="17.399999999999999" customHeight="1" x14ac:dyDescent="0.4">
      <c r="A24" s="150"/>
      <c r="B24" s="141"/>
      <c r="C24" s="99" t="s">
        <v>74</v>
      </c>
      <c r="D24" s="98"/>
      <c r="E24" s="136" t="s">
        <v>103</v>
      </c>
      <c r="F24" s="137"/>
      <c r="G24" s="107">
        <v>0.1</v>
      </c>
      <c r="H24" s="63" t="s">
        <v>104</v>
      </c>
      <c r="I24" s="79">
        <f>I23+0.1</f>
        <v>0.31457995791939741</v>
      </c>
      <c r="J24" s="64">
        <f t="shared" ref="J24:AA24" si="15">J23+0.1</f>
        <v>0.31706675600571682</v>
      </c>
      <c r="K24" s="64">
        <f t="shared" si="15"/>
        <v>0.31457995791939741</v>
      </c>
      <c r="L24" s="64">
        <f t="shared" si="15"/>
        <v>0.31582335696255709</v>
      </c>
      <c r="M24" s="64">
        <f t="shared" si="15"/>
        <v>0.31457995791939741</v>
      </c>
      <c r="N24" s="64">
        <f t="shared" si="15"/>
        <v>0.31706675600571682</v>
      </c>
      <c r="O24" s="64">
        <f t="shared" si="15"/>
        <v>0.31209315983307812</v>
      </c>
      <c r="P24" s="64">
        <f t="shared" si="15"/>
        <v>0.31457995791939741</v>
      </c>
      <c r="Q24" s="64">
        <f t="shared" si="15"/>
        <v>0.30836296270359909</v>
      </c>
      <c r="R24" s="64">
        <f t="shared" si="15"/>
        <v>0.30836296270359909</v>
      </c>
      <c r="S24" s="64">
        <f t="shared" si="15"/>
        <v>0.30463276557412011</v>
      </c>
      <c r="T24" s="64">
        <f t="shared" si="15"/>
        <v>0.30960636174675882</v>
      </c>
      <c r="U24" s="64">
        <f t="shared" si="15"/>
        <v>0.31582335696255709</v>
      </c>
      <c r="V24" s="64">
        <f t="shared" si="15"/>
        <v>0.31582335696255709</v>
      </c>
      <c r="W24" s="64">
        <f t="shared" si="15"/>
        <v>0.31706675600571682</v>
      </c>
      <c r="X24" s="64">
        <f t="shared" si="15"/>
        <v>0.31582335696255709</v>
      </c>
      <c r="Y24" s="64">
        <f t="shared" si="15"/>
        <v>0.31706675600571682</v>
      </c>
      <c r="Z24" s="64">
        <f t="shared" si="15"/>
        <v>0.30836296270359909</v>
      </c>
      <c r="AA24" s="80">
        <f t="shared" si="15"/>
        <v>0.31333655887623779</v>
      </c>
      <c r="AB24" s="131">
        <f t="shared" ref="AB24" si="16">SUM(I24:AA24)</f>
        <v>5.9546380176916784</v>
      </c>
      <c r="AC24" s="120">
        <f t="shared" si="12"/>
        <v>0.31340200093114096</v>
      </c>
      <c r="AD24" s="66"/>
    </row>
    <row r="25" spans="1:30" ht="19.2" x14ac:dyDescent="0.4">
      <c r="A25" s="150"/>
      <c r="B25" s="152" t="s">
        <v>90</v>
      </c>
      <c r="C25" s="97" t="s">
        <v>75</v>
      </c>
      <c r="D25" s="44" t="s">
        <v>84</v>
      </c>
      <c r="E25" s="155" t="s">
        <v>83</v>
      </c>
      <c r="F25" s="156"/>
      <c r="G25" s="6" t="s">
        <v>26</v>
      </c>
      <c r="H25" s="5" t="s">
        <v>50</v>
      </c>
      <c r="I25" s="70">
        <f>ROUNDUP((I11+I12)*0.05,2)</f>
        <v>0.85</v>
      </c>
      <c r="J25" s="8">
        <f t="shared" ref="J25:AA25" si="17">(J11+J12)*0.05</f>
        <v>0.7542984055000006</v>
      </c>
      <c r="K25" s="8">
        <f t="shared" si="17"/>
        <v>0.84194876650000061</v>
      </c>
      <c r="L25" s="8">
        <f t="shared" si="17"/>
        <v>0.81760144400000057</v>
      </c>
      <c r="M25" s="8">
        <f t="shared" si="17"/>
        <v>0.83220983750000066</v>
      </c>
      <c r="N25" s="8">
        <f t="shared" si="17"/>
        <v>0.72508161850000041</v>
      </c>
      <c r="O25" s="8">
        <f t="shared" si="17"/>
        <v>1.0604487665000006</v>
      </c>
      <c r="P25" s="8">
        <f t="shared" si="17"/>
        <v>0.85655716000000059</v>
      </c>
      <c r="Q25" s="8">
        <f t="shared" si="17"/>
        <v>1.2691410950000011</v>
      </c>
      <c r="R25" s="8">
        <f t="shared" si="17"/>
        <v>1.2452716305000009</v>
      </c>
      <c r="S25" s="8">
        <f t="shared" si="17"/>
        <v>1.3674639590000011</v>
      </c>
      <c r="T25" s="8">
        <f t="shared" si="17"/>
        <v>1.1861212695000007</v>
      </c>
      <c r="U25" s="8">
        <f t="shared" si="17"/>
        <v>0.78351519250000057</v>
      </c>
      <c r="V25" s="8">
        <f t="shared" si="17"/>
        <v>0.76890679900000047</v>
      </c>
      <c r="W25" s="8">
        <f t="shared" si="17"/>
        <v>0.74455947650000054</v>
      </c>
      <c r="X25" s="8">
        <f t="shared" si="17"/>
        <v>0.77864572800000054</v>
      </c>
      <c r="Y25" s="8">
        <f t="shared" si="17"/>
        <v>0.7542984055000006</v>
      </c>
      <c r="Z25" s="8">
        <f t="shared" si="17"/>
        <v>1.1370746690000011</v>
      </c>
      <c r="AA25" s="67">
        <f t="shared" si="17"/>
        <v>1.0024930505000007</v>
      </c>
      <c r="AB25" s="124">
        <f t="shared" ref="AB25:AB30" si="18">SUM(I25:AA25)</f>
        <v>17.775637273500013</v>
      </c>
      <c r="AC25" s="113">
        <f t="shared" si="0"/>
        <v>0.93555985650000073</v>
      </c>
      <c r="AD25" s="47"/>
    </row>
    <row r="26" spans="1:30" x14ac:dyDescent="0.4">
      <c r="A26" s="150"/>
      <c r="B26" s="153"/>
      <c r="C26" s="95" t="s">
        <v>76</v>
      </c>
      <c r="D26" s="69" t="s">
        <v>85</v>
      </c>
      <c r="E26" s="157" t="s">
        <v>94</v>
      </c>
      <c r="F26" s="158"/>
      <c r="G26" s="12" t="s">
        <v>26</v>
      </c>
      <c r="H26" s="11" t="s">
        <v>50</v>
      </c>
      <c r="I26" s="71">
        <f t="shared" ref="I26:AA26" si="19">ROUNDUP((I11+I12)*$I$1,2)</f>
        <v>4.21</v>
      </c>
      <c r="J26" s="14">
        <f t="shared" si="19"/>
        <v>3.78</v>
      </c>
      <c r="K26" s="14">
        <f t="shared" si="19"/>
        <v>4.21</v>
      </c>
      <c r="L26" s="14">
        <f t="shared" si="19"/>
        <v>4.09</v>
      </c>
      <c r="M26" s="14">
        <f t="shared" si="19"/>
        <v>4.17</v>
      </c>
      <c r="N26" s="14">
        <f t="shared" si="19"/>
        <v>3.63</v>
      </c>
      <c r="O26" s="14">
        <f t="shared" si="19"/>
        <v>5.31</v>
      </c>
      <c r="P26" s="14">
        <f t="shared" si="19"/>
        <v>4.29</v>
      </c>
      <c r="Q26" s="14">
        <f t="shared" si="19"/>
        <v>6.35</v>
      </c>
      <c r="R26" s="14">
        <f t="shared" si="19"/>
        <v>6.2299999999999995</v>
      </c>
      <c r="S26" s="14">
        <f t="shared" si="19"/>
        <v>6.84</v>
      </c>
      <c r="T26" s="14">
        <f t="shared" si="19"/>
        <v>5.9399999999999995</v>
      </c>
      <c r="U26" s="14">
        <f t="shared" si="19"/>
        <v>3.92</v>
      </c>
      <c r="V26" s="14">
        <f t="shared" si="19"/>
        <v>3.8499999999999996</v>
      </c>
      <c r="W26" s="14">
        <f t="shared" si="19"/>
        <v>3.73</v>
      </c>
      <c r="X26" s="14">
        <f t="shared" si="19"/>
        <v>3.9</v>
      </c>
      <c r="Y26" s="14">
        <f t="shared" si="19"/>
        <v>3.78</v>
      </c>
      <c r="Z26" s="14">
        <f t="shared" si="19"/>
        <v>5.6899999999999995</v>
      </c>
      <c r="AA26" s="68">
        <f t="shared" si="19"/>
        <v>5.0199999999999996</v>
      </c>
      <c r="AB26" s="125">
        <f t="shared" si="18"/>
        <v>88.94</v>
      </c>
      <c r="AC26" s="114">
        <f t="shared" si="0"/>
        <v>4.6810526315789476</v>
      </c>
      <c r="AD26" s="101"/>
    </row>
    <row r="27" spans="1:30" ht="19.2" x14ac:dyDescent="0.4">
      <c r="A27" s="150"/>
      <c r="B27" s="153"/>
      <c r="C27" s="94" t="s">
        <v>77</v>
      </c>
      <c r="D27" s="69" t="s">
        <v>117</v>
      </c>
      <c r="E27" s="161" t="s">
        <v>102</v>
      </c>
      <c r="F27" s="162"/>
      <c r="G27" s="108" t="s">
        <v>26</v>
      </c>
      <c r="H27" s="105" t="s">
        <v>50</v>
      </c>
      <c r="I27" s="103">
        <f>I25+I26</f>
        <v>5.0599999999999996</v>
      </c>
      <c r="J27" s="81">
        <f t="shared" ref="J27:AA27" si="20">J25+J26</f>
        <v>4.5342984055000004</v>
      </c>
      <c r="K27" s="81">
        <f t="shared" si="20"/>
        <v>5.0519487665000007</v>
      </c>
      <c r="L27" s="81">
        <f t="shared" si="20"/>
        <v>4.9076014440000009</v>
      </c>
      <c r="M27" s="81">
        <f t="shared" si="20"/>
        <v>5.0022098375000006</v>
      </c>
      <c r="N27" s="81">
        <f t="shared" si="20"/>
        <v>4.3550816184999999</v>
      </c>
      <c r="O27" s="81">
        <f t="shared" si="20"/>
        <v>6.3704487665</v>
      </c>
      <c r="P27" s="81">
        <f t="shared" si="20"/>
        <v>5.1465571600000004</v>
      </c>
      <c r="Q27" s="81">
        <f t="shared" si="20"/>
        <v>7.6191410950000007</v>
      </c>
      <c r="R27" s="81">
        <f t="shared" si="20"/>
        <v>7.4752716305</v>
      </c>
      <c r="S27" s="81">
        <f t="shared" si="20"/>
        <v>8.2074639590000018</v>
      </c>
      <c r="T27" s="81">
        <f t="shared" si="20"/>
        <v>7.1261212695000005</v>
      </c>
      <c r="U27" s="81">
        <f t="shared" si="20"/>
        <v>4.7035151925000003</v>
      </c>
      <c r="V27" s="81">
        <f t="shared" si="20"/>
        <v>4.6189067990000003</v>
      </c>
      <c r="W27" s="81">
        <f t="shared" si="20"/>
        <v>4.4745594765000005</v>
      </c>
      <c r="X27" s="81">
        <f t="shared" si="20"/>
        <v>4.6786457280000002</v>
      </c>
      <c r="Y27" s="81">
        <f t="shared" si="20"/>
        <v>4.5342984055000004</v>
      </c>
      <c r="Z27" s="81">
        <f t="shared" si="20"/>
        <v>6.8270746690000008</v>
      </c>
      <c r="AA27" s="82">
        <f t="shared" si="20"/>
        <v>6.0224930505000005</v>
      </c>
      <c r="AB27" s="132">
        <f t="shared" ref="AB27" si="21">SUM(I27:AA27)</f>
        <v>106.71563727350002</v>
      </c>
      <c r="AC27" s="121">
        <f t="shared" ref="AC27" si="22">AVERAGE(I27:AA27)</f>
        <v>5.6166124880789488</v>
      </c>
      <c r="AD27" s="101"/>
    </row>
    <row r="28" spans="1:30" x14ac:dyDescent="0.4">
      <c r="A28" s="150"/>
      <c r="B28" s="153"/>
      <c r="C28" s="95" t="s">
        <v>109</v>
      </c>
      <c r="D28" s="9" t="s">
        <v>118</v>
      </c>
      <c r="E28" s="157" t="s">
        <v>100</v>
      </c>
      <c r="F28" s="158"/>
      <c r="G28" s="12" t="s">
        <v>26</v>
      </c>
      <c r="H28" s="11" t="s">
        <v>50</v>
      </c>
      <c r="I28" s="71">
        <f t="shared" ref="I28:AA28" si="23">I27+I17</f>
        <v>6.5299999999999994</v>
      </c>
      <c r="J28" s="14">
        <f t="shared" si="23"/>
        <v>5.9842984055000006</v>
      </c>
      <c r="K28" s="14">
        <f t="shared" si="23"/>
        <v>6.5219487665000013</v>
      </c>
      <c r="L28" s="14">
        <f t="shared" si="23"/>
        <v>6.3676014440000008</v>
      </c>
      <c r="M28" s="14">
        <f t="shared" si="23"/>
        <v>6.4722098375000012</v>
      </c>
      <c r="N28" s="14">
        <f t="shared" si="23"/>
        <v>5.8050816185</v>
      </c>
      <c r="O28" s="14">
        <f t="shared" si="23"/>
        <v>7.8604487665000002</v>
      </c>
      <c r="P28" s="14">
        <f t="shared" si="23"/>
        <v>6.616557160000001</v>
      </c>
      <c r="Q28" s="14">
        <f t="shared" si="23"/>
        <v>9.1391410950000012</v>
      </c>
      <c r="R28" s="14">
        <f t="shared" si="23"/>
        <v>8.9952716304999996</v>
      </c>
      <c r="S28" s="14">
        <f t="shared" si="23"/>
        <v>9.7574639590000025</v>
      </c>
      <c r="T28" s="14">
        <f t="shared" si="23"/>
        <v>8.6361212695000003</v>
      </c>
      <c r="U28" s="14">
        <f t="shared" si="23"/>
        <v>6.1635151925000002</v>
      </c>
      <c r="V28" s="14">
        <f t="shared" si="23"/>
        <v>6.0789067990000003</v>
      </c>
      <c r="W28" s="14">
        <f t="shared" si="23"/>
        <v>5.9245594765000007</v>
      </c>
      <c r="X28" s="14">
        <f t="shared" si="23"/>
        <v>6.1386457280000002</v>
      </c>
      <c r="Y28" s="14">
        <f t="shared" si="23"/>
        <v>5.9842984055000006</v>
      </c>
      <c r="Z28" s="14">
        <f t="shared" si="23"/>
        <v>8.3470746690000013</v>
      </c>
      <c r="AA28" s="68">
        <f t="shared" si="23"/>
        <v>7.5024930505</v>
      </c>
      <c r="AB28" s="125">
        <f t="shared" si="18"/>
        <v>134.82563727349998</v>
      </c>
      <c r="AC28" s="114">
        <f>AVERAGE(I28:AA28)</f>
        <v>7.0960861722894721</v>
      </c>
      <c r="AD28" s="101"/>
    </row>
    <row r="29" spans="1:30" ht="19.2" x14ac:dyDescent="0.4">
      <c r="A29" s="151"/>
      <c r="B29" s="154"/>
      <c r="C29" s="96" t="s">
        <v>110</v>
      </c>
      <c r="D29" s="51" t="s">
        <v>119</v>
      </c>
      <c r="E29" s="159" t="s">
        <v>108</v>
      </c>
      <c r="F29" s="160"/>
      <c r="G29" s="16" t="s">
        <v>26</v>
      </c>
      <c r="H29" s="15" t="s">
        <v>43</v>
      </c>
      <c r="I29" s="200">
        <f>I27+I17+I12+I11</f>
        <v>23.368975330000012</v>
      </c>
      <c r="J29" s="201">
        <f>J27+J17+J12+J11</f>
        <v>21.070266515500009</v>
      </c>
      <c r="K29" s="201">
        <f t="shared" ref="K29:AA29" si="24">K27+K17+K12+K11</f>
        <v>23.360924096500014</v>
      </c>
      <c r="L29" s="201">
        <f t="shared" si="24"/>
        <v>22.719630324000011</v>
      </c>
      <c r="M29" s="201">
        <f t="shared" si="24"/>
        <v>23.116406587500013</v>
      </c>
      <c r="N29" s="201">
        <f t="shared" si="24"/>
        <v>20.306713988500007</v>
      </c>
      <c r="O29" s="201">
        <f t="shared" si="24"/>
        <v>29.069424096500011</v>
      </c>
      <c r="P29" s="201">
        <f t="shared" si="24"/>
        <v>23.747700360000014</v>
      </c>
      <c r="Q29" s="201">
        <f t="shared" si="24"/>
        <v>34.521962995000017</v>
      </c>
      <c r="R29" s="201">
        <f t="shared" si="24"/>
        <v>33.900704240500019</v>
      </c>
      <c r="S29" s="201">
        <f t="shared" si="24"/>
        <v>37.106743139000017</v>
      </c>
      <c r="T29" s="201">
        <f t="shared" si="24"/>
        <v>32.358546659500014</v>
      </c>
      <c r="U29" s="201">
        <f t="shared" si="24"/>
        <v>21.833819042500011</v>
      </c>
      <c r="V29" s="201">
        <f t="shared" si="24"/>
        <v>21.457042779000009</v>
      </c>
      <c r="W29" s="201">
        <f t="shared" si="24"/>
        <v>20.81574900650001</v>
      </c>
      <c r="X29" s="201">
        <f t="shared" si="24"/>
        <v>21.711560288000008</v>
      </c>
      <c r="Y29" s="201">
        <f t="shared" si="24"/>
        <v>21.070266515500009</v>
      </c>
      <c r="Z29" s="201">
        <f t="shared" si="24"/>
        <v>31.08856804900002</v>
      </c>
      <c r="AA29" s="202">
        <f t="shared" si="24"/>
        <v>27.552354060500008</v>
      </c>
      <c r="AB29" s="126">
        <f t="shared" si="18"/>
        <v>490.17735807350016</v>
      </c>
      <c r="AC29" s="115">
        <f t="shared" si="0"/>
        <v>25.798808319657905</v>
      </c>
      <c r="AD29" s="48"/>
    </row>
    <row r="30" spans="1:30" ht="19.2" x14ac:dyDescent="0.4">
      <c r="A30" s="142" t="s">
        <v>98</v>
      </c>
      <c r="B30" s="143"/>
      <c r="C30" s="100" t="s">
        <v>111</v>
      </c>
      <c r="D30" s="55" t="s">
        <v>120</v>
      </c>
      <c r="E30" s="146" t="s">
        <v>95</v>
      </c>
      <c r="F30" s="147"/>
      <c r="G30" s="45" t="s">
        <v>26</v>
      </c>
      <c r="H30" s="37" t="s">
        <v>50</v>
      </c>
      <c r="I30" s="203">
        <f t="shared" ref="I30:AA30" si="25">I29+I21</f>
        <v>27.368975330000012</v>
      </c>
      <c r="J30" s="204">
        <f t="shared" si="25"/>
        <v>25.070266515500009</v>
      </c>
      <c r="K30" s="204">
        <f t="shared" si="25"/>
        <v>27.360924096500014</v>
      </c>
      <c r="L30" s="204">
        <f t="shared" si="25"/>
        <v>26.719630324000011</v>
      </c>
      <c r="M30" s="204">
        <f t="shared" si="25"/>
        <v>27.116406587500013</v>
      </c>
      <c r="N30" s="204">
        <f t="shared" si="25"/>
        <v>24.306713988500007</v>
      </c>
      <c r="O30" s="204">
        <f t="shared" si="25"/>
        <v>33.069424096500015</v>
      </c>
      <c r="P30" s="204">
        <f t="shared" si="25"/>
        <v>27.747700360000014</v>
      </c>
      <c r="Q30" s="204">
        <f t="shared" si="25"/>
        <v>38.521962995000017</v>
      </c>
      <c r="R30" s="204">
        <f t="shared" si="25"/>
        <v>37.900704240500019</v>
      </c>
      <c r="S30" s="204">
        <f t="shared" si="25"/>
        <v>41.106743139000017</v>
      </c>
      <c r="T30" s="204">
        <f t="shared" si="25"/>
        <v>36.358546659500014</v>
      </c>
      <c r="U30" s="204">
        <f t="shared" si="25"/>
        <v>25.833819042500011</v>
      </c>
      <c r="V30" s="204">
        <f t="shared" si="25"/>
        <v>25.457042779000009</v>
      </c>
      <c r="W30" s="204">
        <f t="shared" si="25"/>
        <v>24.81574900650001</v>
      </c>
      <c r="X30" s="204">
        <f t="shared" si="25"/>
        <v>25.711560288000008</v>
      </c>
      <c r="Y30" s="204">
        <f t="shared" si="25"/>
        <v>25.070266515500009</v>
      </c>
      <c r="Z30" s="204">
        <f t="shared" si="25"/>
        <v>35.088568049000017</v>
      </c>
      <c r="AA30" s="205">
        <f t="shared" si="25"/>
        <v>31.552354060500008</v>
      </c>
      <c r="AB30" s="133">
        <f t="shared" si="18"/>
        <v>566.17735807350016</v>
      </c>
      <c r="AC30" s="122">
        <f t="shared" si="0"/>
        <v>29.798808319657905</v>
      </c>
      <c r="AD30" s="47"/>
    </row>
    <row r="31" spans="1:30" ht="19.2" x14ac:dyDescent="0.4">
      <c r="A31" s="144"/>
      <c r="B31" s="145"/>
      <c r="C31" s="96" t="s">
        <v>112</v>
      </c>
      <c r="D31" s="51" t="s">
        <v>97</v>
      </c>
      <c r="E31" s="148" t="s">
        <v>96</v>
      </c>
      <c r="F31" s="149"/>
      <c r="G31" s="22">
        <v>4</v>
      </c>
      <c r="H31" s="21" t="s">
        <v>42</v>
      </c>
      <c r="I31" s="200">
        <f>I30*$G$31</f>
        <v>109.47590132000005</v>
      </c>
      <c r="J31" s="201">
        <f t="shared" ref="J31:AA31" si="26">J30*$G$31</f>
        <v>100.28106606200004</v>
      </c>
      <c r="K31" s="201">
        <f t="shared" si="26"/>
        <v>109.44369638600006</v>
      </c>
      <c r="L31" s="201">
        <f t="shared" si="26"/>
        <v>106.87852129600005</v>
      </c>
      <c r="M31" s="201">
        <f t="shared" si="26"/>
        <v>108.46562635000005</v>
      </c>
      <c r="N31" s="201">
        <f t="shared" si="26"/>
        <v>97.22685595400003</v>
      </c>
      <c r="O31" s="201">
        <f t="shared" si="26"/>
        <v>132.27769638600006</v>
      </c>
      <c r="P31" s="201">
        <f t="shared" si="26"/>
        <v>110.99080144000006</v>
      </c>
      <c r="Q31" s="201">
        <f t="shared" si="26"/>
        <v>154.08785198000007</v>
      </c>
      <c r="R31" s="201">
        <f t="shared" si="26"/>
        <v>151.60281696200008</v>
      </c>
      <c r="S31" s="201">
        <f t="shared" si="26"/>
        <v>164.42697255600007</v>
      </c>
      <c r="T31" s="201">
        <f t="shared" si="26"/>
        <v>145.43418663800006</v>
      </c>
      <c r="U31" s="201">
        <f t="shared" si="26"/>
        <v>103.33527617000004</v>
      </c>
      <c r="V31" s="201">
        <f t="shared" si="26"/>
        <v>101.82817111600004</v>
      </c>
      <c r="W31" s="201">
        <f t="shared" si="26"/>
        <v>99.262996026000039</v>
      </c>
      <c r="X31" s="201">
        <f t="shared" si="26"/>
        <v>102.84624115200003</v>
      </c>
      <c r="Y31" s="201">
        <f t="shared" si="26"/>
        <v>100.28106606200004</v>
      </c>
      <c r="Z31" s="201">
        <f t="shared" si="26"/>
        <v>140.35427219600007</v>
      </c>
      <c r="AA31" s="202">
        <f t="shared" si="26"/>
        <v>126.20941624200003</v>
      </c>
      <c r="AB31" s="126">
        <f>SUM(I31:AA31)</f>
        <v>2264.7094322940006</v>
      </c>
      <c r="AC31" s="115">
        <f t="shared" si="0"/>
        <v>119.19523327863162</v>
      </c>
      <c r="AD31" s="48"/>
    </row>
    <row r="33" spans="7:29" x14ac:dyDescent="0.4">
      <c r="AB33" s="206">
        <f>AB29*4</f>
        <v>1960.7094322940006</v>
      </c>
    </row>
    <row r="35" spans="7:29" x14ac:dyDescent="0.4">
      <c r="AB35" s="49"/>
      <c r="AC35" s="49"/>
    </row>
    <row r="36" spans="7:29" x14ac:dyDescent="0.4">
      <c r="G36">
        <v>2.2400000000000002</v>
      </c>
      <c r="H36" s="195" t="s">
        <v>121</v>
      </c>
      <c r="I36" s="196">
        <f>I30*$G$36</f>
        <v>61.30650473920003</v>
      </c>
      <c r="J36" s="196">
        <f>J30*$G$36</f>
        <v>56.157396994720024</v>
      </c>
      <c r="K36" s="196">
        <f>K30*$G$36</f>
        <v>61.288469976160037</v>
      </c>
      <c r="L36" s="196">
        <f>L30*$G$36</f>
        <v>59.851971925760033</v>
      </c>
      <c r="M36" s="196">
        <f>M30*$G$36</f>
        <v>60.740750756000033</v>
      </c>
      <c r="N36" s="196">
        <f>N30*$G$36</f>
        <v>54.447039334240024</v>
      </c>
      <c r="O36" s="196">
        <f>O30*$G$36</f>
        <v>74.075509976160035</v>
      </c>
      <c r="P36" s="196">
        <f>P30*$G$36</f>
        <v>62.15484880640004</v>
      </c>
      <c r="Q36" s="196">
        <f>Q30*$G$36</f>
        <v>86.289197108800039</v>
      </c>
      <c r="R36" s="196">
        <f>R30*$G$36</f>
        <v>84.897577498720054</v>
      </c>
      <c r="S36" s="196">
        <f>S30*$G$36</f>
        <v>92.079104631360039</v>
      </c>
      <c r="T36" s="196">
        <f>T30*$G$36</f>
        <v>81.443144517280047</v>
      </c>
      <c r="U36" s="196">
        <f>U30*$G$36</f>
        <v>57.867754655200031</v>
      </c>
      <c r="V36" s="196">
        <f>V30*$G$36</f>
        <v>57.023775824960026</v>
      </c>
      <c r="W36" s="196">
        <f>W30*$G$36</f>
        <v>55.587277774560029</v>
      </c>
      <c r="X36" s="196">
        <f>X30*$G$36</f>
        <v>57.593895045120021</v>
      </c>
      <c r="Y36" s="196">
        <f>Y30*$G$36</f>
        <v>56.157396994720024</v>
      </c>
      <c r="Z36" s="196">
        <f>Z30*$G$36</f>
        <v>78.59839242976004</v>
      </c>
      <c r="AA36" s="196">
        <f>AA30*$G$36</f>
        <v>70.677273095520022</v>
      </c>
      <c r="AB36" s="133">
        <f t="shared" ref="AB36:AB37" si="27">SUM(I36:AA36)</f>
        <v>1268.2372820846406</v>
      </c>
      <c r="AC36" s="122">
        <f t="shared" ref="AC36:AC37" si="28">AVERAGE(I36:AA36)</f>
        <v>66.749330636033719</v>
      </c>
    </row>
    <row r="37" spans="7:29" x14ac:dyDescent="0.4">
      <c r="G37">
        <v>4</v>
      </c>
      <c r="H37" s="195" t="s">
        <v>122</v>
      </c>
      <c r="I37" s="196">
        <f>I36*$G$37</f>
        <v>245.22601895680012</v>
      </c>
      <c r="J37" s="196">
        <f>J36*$G$37</f>
        <v>224.6295879788801</v>
      </c>
      <c r="K37" s="196">
        <f>K36*$G$37</f>
        <v>245.15387990464015</v>
      </c>
      <c r="L37" s="196">
        <f>L36*$G$37</f>
        <v>239.40788770304013</v>
      </c>
      <c r="M37" s="196">
        <f>M36*$G$37</f>
        <v>242.96300302400013</v>
      </c>
      <c r="N37" s="196">
        <f>N36*$G$37</f>
        <v>217.7881573369601</v>
      </c>
      <c r="O37" s="196">
        <f>O36*$G$37</f>
        <v>296.30203990464014</v>
      </c>
      <c r="P37" s="196">
        <f>P36*$G$37</f>
        <v>248.61939522560016</v>
      </c>
      <c r="Q37" s="196">
        <f>Q36*$G$37</f>
        <v>345.15678843520016</v>
      </c>
      <c r="R37" s="196">
        <f>R36*$G$37</f>
        <v>339.59030999488022</v>
      </c>
      <c r="S37" s="196">
        <f>S36*$G$37</f>
        <v>368.31641852544016</v>
      </c>
      <c r="T37" s="196">
        <f>T36*$G$37</f>
        <v>325.77257806912019</v>
      </c>
      <c r="U37" s="196">
        <f>U36*$G$37</f>
        <v>231.47101862080012</v>
      </c>
      <c r="V37" s="196">
        <f>V36*$G$37</f>
        <v>228.0951032998401</v>
      </c>
      <c r="W37" s="196">
        <f>W36*$G$37</f>
        <v>222.34911109824012</v>
      </c>
      <c r="X37" s="196">
        <f>X36*$G$37</f>
        <v>230.37558018048009</v>
      </c>
      <c r="Y37" s="196">
        <f>Y36*$G$37</f>
        <v>224.6295879788801</v>
      </c>
      <c r="Z37" s="196">
        <f>Z36*$G$37</f>
        <v>314.39356971904016</v>
      </c>
      <c r="AA37" s="196">
        <f>AA36*$G$37</f>
        <v>282.70909238208009</v>
      </c>
      <c r="AB37" s="126">
        <f>SUM(I37:AA37)</f>
        <v>5072.9491283385623</v>
      </c>
      <c r="AC37" s="115">
        <f t="shared" si="28"/>
        <v>266.99732254413487</v>
      </c>
    </row>
    <row r="38" spans="7:29" x14ac:dyDescent="0.4">
      <c r="AB38" s="49">
        <f>AB37/2.4</f>
        <v>2113.728803474401</v>
      </c>
      <c r="AC38" s="49"/>
    </row>
    <row r="39" spans="7:29" x14ac:dyDescent="0.4">
      <c r="I39">
        <v>23.368975330000012</v>
      </c>
      <c r="J39">
        <v>21.070266515500009</v>
      </c>
      <c r="K39">
        <v>23.360924096500014</v>
      </c>
      <c r="L39">
        <v>22.719630324000011</v>
      </c>
      <c r="M39">
        <v>23.116406587500013</v>
      </c>
      <c r="N39">
        <v>20.306713988500007</v>
      </c>
      <c r="O39">
        <v>29.069424096500011</v>
      </c>
      <c r="P39">
        <v>23.747700360000014</v>
      </c>
      <c r="Q39">
        <v>34.521962995000017</v>
      </c>
      <c r="R39">
        <v>33.900704240500019</v>
      </c>
      <c r="S39">
        <v>37.106743139000017</v>
      </c>
      <c r="T39">
        <v>32.358546659500014</v>
      </c>
      <c r="U39">
        <v>21.833819042500011</v>
      </c>
      <c r="V39">
        <v>21.457042779000009</v>
      </c>
      <c r="W39">
        <v>20.81574900650001</v>
      </c>
      <c r="X39">
        <v>21.711560288000008</v>
      </c>
      <c r="Y39">
        <v>21.070266515500009</v>
      </c>
      <c r="Z39">
        <v>31.08856804900002</v>
      </c>
      <c r="AA39">
        <v>27.552354060500008</v>
      </c>
      <c r="AB39" s="49"/>
      <c r="AC39" s="49"/>
    </row>
    <row r="40" spans="7:29" x14ac:dyDescent="0.4">
      <c r="AB40" s="49"/>
      <c r="AC40" s="49"/>
    </row>
    <row r="41" spans="7:29" x14ac:dyDescent="0.4">
      <c r="AB41" s="49"/>
      <c r="AC41" s="49">
        <f>AC36*2.24</f>
        <v>149.51850062471556</v>
      </c>
    </row>
    <row r="42" spans="7:29" x14ac:dyDescent="0.4">
      <c r="J42">
        <v>2.4</v>
      </c>
      <c r="K42">
        <v>2.4</v>
      </c>
      <c r="AB42" s="49"/>
      <c r="AC42" s="49"/>
    </row>
    <row r="43" spans="7:29" x14ac:dyDescent="0.4">
      <c r="AB43" s="49"/>
      <c r="AC43" s="49"/>
    </row>
    <row r="44" spans="7:29" x14ac:dyDescent="0.4">
      <c r="Q44">
        <f>4*2.24</f>
        <v>8.9600000000000009</v>
      </c>
      <c r="AB44" s="49"/>
      <c r="AC44" s="49"/>
    </row>
    <row r="45" spans="7:29" x14ac:dyDescent="0.4">
      <c r="AB45" s="49"/>
      <c r="AC45" s="49"/>
    </row>
    <row r="46" spans="7:29" x14ac:dyDescent="0.4">
      <c r="T46" s="24"/>
      <c r="AB46" s="49"/>
      <c r="AC46" s="49"/>
    </row>
    <row r="47" spans="7:29" x14ac:dyDescent="0.4">
      <c r="O47">
        <f>4*2.4</f>
        <v>9.6</v>
      </c>
      <c r="Y47" s="25"/>
      <c r="AB47" s="49"/>
      <c r="AC47" s="49"/>
    </row>
  </sheetData>
  <sortState xmlns:xlrd2="http://schemas.microsoft.com/office/spreadsheetml/2017/richdata2" ref="M42:M60">
    <sortCondition ref="M42:M60"/>
  </sortState>
  <mergeCells count="43">
    <mergeCell ref="B2:F2"/>
    <mergeCell ref="G2:H2"/>
    <mergeCell ref="A3:A9"/>
    <mergeCell ref="B3:B4"/>
    <mergeCell ref="E3:F3"/>
    <mergeCell ref="E4:F4"/>
    <mergeCell ref="B5:B7"/>
    <mergeCell ref="E5:F5"/>
    <mergeCell ref="E6:F6"/>
    <mergeCell ref="E7:F7"/>
    <mergeCell ref="B8:B9"/>
    <mergeCell ref="E8:F8"/>
    <mergeCell ref="E9:F9"/>
    <mergeCell ref="A10:A14"/>
    <mergeCell ref="B10:B14"/>
    <mergeCell ref="E10:F10"/>
    <mergeCell ref="E11:E12"/>
    <mergeCell ref="E13:F13"/>
    <mergeCell ref="E14:F14"/>
    <mergeCell ref="A15:A19"/>
    <mergeCell ref="B15:B17"/>
    <mergeCell ref="E15:F15"/>
    <mergeCell ref="E16:F16"/>
    <mergeCell ref="E17:F17"/>
    <mergeCell ref="B18:B19"/>
    <mergeCell ref="E18:F18"/>
    <mergeCell ref="E19:F19"/>
    <mergeCell ref="A30:B31"/>
    <mergeCell ref="E30:F30"/>
    <mergeCell ref="E31:F31"/>
    <mergeCell ref="A20:A29"/>
    <mergeCell ref="B25:B29"/>
    <mergeCell ref="E25:F25"/>
    <mergeCell ref="E26:F26"/>
    <mergeCell ref="E28:F28"/>
    <mergeCell ref="E29:F29"/>
    <mergeCell ref="E27:F27"/>
    <mergeCell ref="E20:F20"/>
    <mergeCell ref="E23:F23"/>
    <mergeCell ref="E24:F24"/>
    <mergeCell ref="E21:F21"/>
    <mergeCell ref="E22:F22"/>
    <mergeCell ref="B20:B24"/>
  </mergeCells>
  <phoneticPr fontId="1" type="noConversion"/>
  <pageMargins left="0.25" right="0.25" top="0.75" bottom="0.75" header="0.3" footer="0.3"/>
  <pageSetup paperSize="8" scale="50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f3beb1-0707-4699-a01a-d31b29e0bd8d" xsi:nil="true"/>
    <lcf76f155ced4ddcb4097134ff3c332f xmlns="2ee1ae17-0057-4412-a506-7387b351f9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3A94D6E5C4744BFDE2012E56DA276" ma:contentTypeVersion="9" ma:contentTypeDescription="Create a new document." ma:contentTypeScope="" ma:versionID="0b0c88bba54f877a92bff410f7b75101">
  <xsd:schema xmlns:xsd="http://www.w3.org/2001/XMLSchema" xmlns:xs="http://www.w3.org/2001/XMLSchema" xmlns:p="http://schemas.microsoft.com/office/2006/metadata/properties" xmlns:ns2="2ee1ae17-0057-4412-a506-7387b351f939" xmlns:ns3="48f3beb1-0707-4699-a01a-d31b29e0bd8d" targetNamespace="http://schemas.microsoft.com/office/2006/metadata/properties" ma:root="true" ma:fieldsID="33d6d81aec602c8fffef24d7df40012b" ns2:_="" ns3:_="">
    <xsd:import namespace="2ee1ae17-0057-4412-a506-7387b351f939"/>
    <xsd:import namespace="48f3beb1-0707-4699-a01a-d31b29e0b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1ae17-0057-4412-a506-7387b351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744ba4a-2465-4bd3-91fc-6ac5e29207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3beb1-0707-4699-a01a-d31b29e0bd8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c7ee81d-6707-41db-b0e0-e4833ab5c8d0}" ma:internalName="TaxCatchAll" ma:showField="CatchAllData" ma:web="48f3beb1-0707-4699-a01a-d31b29e0b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B7224-9898-4E1F-B3DB-F708725C4F07}">
  <ds:schemaRefs>
    <ds:schemaRef ds:uri="http://schemas.microsoft.com/office/2006/metadata/properties"/>
    <ds:schemaRef ds:uri="http://schemas.microsoft.com/office/infopath/2007/PartnerControls"/>
    <ds:schemaRef ds:uri="48f3beb1-0707-4699-a01a-d31b29e0bd8d"/>
    <ds:schemaRef ds:uri="2ee1ae17-0057-4412-a506-7387b351f939"/>
  </ds:schemaRefs>
</ds:datastoreItem>
</file>

<file path=customXml/itemProps2.xml><?xml version="1.0" encoding="utf-8"?>
<ds:datastoreItem xmlns:ds="http://schemas.openxmlformats.org/officeDocument/2006/customXml" ds:itemID="{0396569B-4EC1-45BB-BC49-6FC82572A7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8FFEB5-166B-4808-A2C4-E42106099B9A}"/>
</file>

<file path=docMetadata/LabelInfo.xml><?xml version="1.0" encoding="utf-8"?>
<clbl:labelList xmlns:clbl="http://schemas.microsoft.com/office/2020/mipLabelMetadata">
  <clbl:label id="{7fa3ed9f-fff9-4884-a6e2-8dd98886b775}" enabled="0" method="" siteId="{7fa3ed9f-fff9-4884-a6e2-8dd98886b77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25% (2)</vt:lpstr>
      <vt:lpstr>'25%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Genie</dc:creator>
  <cp:lastModifiedBy>Kim, Genie</cp:lastModifiedBy>
  <dcterms:created xsi:type="dcterms:W3CDTF">2026-03-03T09:05:47Z</dcterms:created>
  <dcterms:modified xsi:type="dcterms:W3CDTF">2026-03-13T10:08:51Z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0x010100E573A94D6E5C4744BFDE2012E56DA276</vt:lpwstr>
  </property>
  <property fmtid="{D5CDD505-2E9C-101B-9397-08002B2CF9AE}" pid="3" name="MediaServiceImageTags">
    <vt:lpwstr/>
  </property>
</Properties>
</file>